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012\Desktop\excelシート2020公開\excelシート0401公開用\"/>
    </mc:Choice>
  </mc:AlternateContent>
  <xr:revisionPtr revIDLastSave="0" documentId="13_ncr:1_{DEF69338-D8A1-4696-AE53-A9339BAC88E3}" xr6:coauthVersionLast="45" xr6:coauthVersionMax="45" xr10:uidLastSave="{00000000-0000-0000-0000-000000000000}"/>
  <bookViews>
    <workbookView xWindow="-120" yWindow="-120" windowWidth="29040" windowHeight="15840" tabRatio="803" firstSheet="1" activeTab="1" xr2:uid="{00000000-000D-0000-FFFF-FFFF00000000}"/>
  </bookViews>
  <sheets>
    <sheet name="はじめに（お読みください）" sheetId="124" r:id="rId1"/>
    <sheet name="共通条件・結果" sheetId="78" r:id="rId2"/>
    <sheet name="断熱仕様一覧" sheetId="105" r:id="rId3"/>
    <sheet name="【参考】断熱材の熱伝導率" sheetId="123" r:id="rId4"/>
    <sheet name="Ａ（北）" sheetId="92" r:id="rId5"/>
    <sheet name="Ａ（北東）" sheetId="115" r:id="rId6"/>
    <sheet name="Ａ（東）" sheetId="116" r:id="rId7"/>
    <sheet name="Ａ（南東）" sheetId="117" r:id="rId8"/>
    <sheet name="Ａ（南）" sheetId="118" r:id="rId9"/>
    <sheet name="Ａ（南西）" sheetId="119" r:id="rId10"/>
    <sheet name="Ａ（西）" sheetId="120" r:id="rId11"/>
    <sheet name="Ａ（北西）" sheetId="121" r:id="rId12"/>
    <sheet name="Ｂ（屋根・床等）" sheetId="77" r:id="rId13"/>
    <sheet name="Ｃ（基礎）" sheetId="122" r:id="rId14"/>
    <sheet name="更新履歴" sheetId="114" r:id="rId15"/>
  </sheets>
  <definedNames>
    <definedName name="_xlnm.Print_Area" localSheetId="10">'Ａ（西）'!$A$1:$Z$38</definedName>
    <definedName name="_xlnm.Print_Area" localSheetId="6">'Ａ（東）'!$A$1:$Z$38</definedName>
    <definedName name="_xlnm.Print_Area" localSheetId="8">'Ａ（南）'!$A$1:$Z$38</definedName>
    <definedName name="_xlnm.Print_Area" localSheetId="9">'Ａ（南西）'!$A$1:$Z$38</definedName>
    <definedName name="_xlnm.Print_Area" localSheetId="7">'Ａ（南東）'!$A$1:$Z$38</definedName>
    <definedName name="_xlnm.Print_Area" localSheetId="4">'Ａ（北）'!$A$1:$Z$38</definedName>
    <definedName name="_xlnm.Print_Area" localSheetId="11">'Ａ（北西）'!$A$1:$Z$38</definedName>
    <definedName name="_xlnm.Print_Area" localSheetId="5">'Ａ（北東）'!$A$1:$Z$38</definedName>
    <definedName name="_xlnm.Print_Area" localSheetId="12">'Ｂ（屋根・床等）'!$A$1:$R$33</definedName>
    <definedName name="_xlnm.Print_Area" localSheetId="13">'Ｃ（基礎）'!$A$1:$AB$43</definedName>
    <definedName name="_xlnm.Print_Area" localSheetId="0">'はじめに（お読みください）'!$A$1:$B$9</definedName>
    <definedName name="_xlnm.Print_Area" localSheetId="1">共通条件・結果!$A$1:$AC$28</definedName>
    <definedName name="_xlnm.Print_Area" localSheetId="14">更新履歴!$A$1:$J$24</definedName>
    <definedName name="_xlnm.Print_Area" localSheetId="2">断熱仕様一覧!$A$1:$F$23</definedName>
    <definedName name="あ_木製建具又は樹脂性建具" localSheetId="10">'Ａ（西）'!$BD$47:$BD$77</definedName>
    <definedName name="あ_木製建具又は樹脂性建具" localSheetId="6">'Ａ（東）'!$AN$47:$AN$77</definedName>
    <definedName name="あ_木製建具又は樹脂性建具" localSheetId="8">'Ａ（南）'!$AV$47:$AV$77</definedName>
    <definedName name="あ_木製建具又は樹脂性建具" localSheetId="9">'Ａ（南西）'!$AZ$47:$AZ$77</definedName>
    <definedName name="あ_木製建具又は樹脂性建具" localSheetId="7">'Ａ（南東）'!$AR$47:$AR$77</definedName>
    <definedName name="あ_木製建具又は樹脂性建具" localSheetId="4">'Ａ（北）'!$AF$47:$AF$77</definedName>
    <definedName name="あ_木製建具又は樹脂性建具" localSheetId="11">'Ａ（北西）'!$BH$47:$BH$77</definedName>
    <definedName name="あ_木製建具又は樹脂性建具" localSheetId="5">'Ａ（北東）'!$AJ$47:$AJ$77</definedName>
    <definedName name="あ_木製建具又は樹脂性建具" localSheetId="12">'Ｂ（屋根・床等）'!$BL$47:$BL$77</definedName>
    <definedName name="い_木と金属の複合材料製建具又は樹脂と金属の複合材料製建具" localSheetId="10">'Ａ（西）'!$BE$47:$BE$66</definedName>
    <definedName name="い_木と金属の複合材料製建具又は樹脂と金属の複合材料製建具" localSheetId="6">'Ａ（東）'!$AO$47:$AO$66</definedName>
    <definedName name="い_木と金属の複合材料製建具又は樹脂と金属の複合材料製建具" localSheetId="8">'Ａ（南）'!$AW$47:$AW$66</definedName>
    <definedName name="い_木と金属の複合材料製建具又は樹脂と金属の複合材料製建具" localSheetId="9">'Ａ（南西）'!$BA$47:$BA$66</definedName>
    <definedName name="い_木と金属の複合材料製建具又は樹脂と金属の複合材料製建具" localSheetId="7">'Ａ（南東）'!$AS$47:$AS$66</definedName>
    <definedName name="い_木と金属の複合材料製建具又は樹脂と金属の複合材料製建具" localSheetId="4">'Ａ（北）'!$AG$47:$AG$66</definedName>
    <definedName name="い_木と金属の複合材料製建具又は樹脂と金属の複合材料製建具" localSheetId="11">'Ａ（北西）'!$BI$47:$BI$66</definedName>
    <definedName name="い_木と金属の複合材料製建具又は樹脂と金属の複合材料製建具" localSheetId="5">'Ａ（北東）'!$AK$47:$AK$66</definedName>
    <definedName name="い_木と金属の複合材料製建具又は樹脂と金属の複合材料製建具" localSheetId="12">'Ｂ（屋根・床等）'!$BM$47:$BM$66</definedName>
    <definedName name="う_金属製熱遮断構造建具" localSheetId="10">'Ａ（西）'!$BF$47:$BF$64</definedName>
    <definedName name="う_金属製熱遮断構造建具" localSheetId="6">'Ａ（東）'!$AP$47:$AP$64</definedName>
    <definedName name="う_金属製熱遮断構造建具" localSheetId="8">'Ａ（南）'!$AX$47:$AX$64</definedName>
    <definedName name="う_金属製熱遮断構造建具" localSheetId="9">'Ａ（南西）'!$BB$47:$BB$64</definedName>
    <definedName name="う_金属製熱遮断構造建具" localSheetId="7">'Ａ（南東）'!$AT$47:$AT$64</definedName>
    <definedName name="う_金属製熱遮断構造建具" localSheetId="4">'Ａ（北）'!$AH$47:$AH$64</definedName>
    <definedName name="う_金属製熱遮断構造建具" localSheetId="11">'Ａ（北西）'!$BJ$47:$BJ$64</definedName>
    <definedName name="う_金属製熱遮断構造建具" localSheetId="5">'Ａ（北東）'!$AL$47:$AL$64</definedName>
    <definedName name="う_金属製熱遮断構造建具" localSheetId="12">'Ｂ（屋根・床等）'!$BN$47:$BN$64</definedName>
    <definedName name="え_金属製建具" localSheetId="10">'Ａ（西）'!$BG$47:$BG$71</definedName>
    <definedName name="え_金属製建具" localSheetId="6">'Ａ（東）'!$AQ$47:$AQ$71</definedName>
    <definedName name="え_金属製建具" localSheetId="8">'Ａ（南）'!$AY$47:$AY$71</definedName>
    <definedName name="え_金属製建具" localSheetId="9">'Ａ（南西）'!$BC$47:$BC$71</definedName>
    <definedName name="え_金属製建具" localSheetId="7">'Ａ（南東）'!$AU$47:$AU$71</definedName>
    <definedName name="え_金属製建具" localSheetId="4">'Ａ（北）'!$AI$47:$AI$71</definedName>
    <definedName name="え_金属製建具" localSheetId="11">'Ａ（北西）'!$BK$47:$BK$71</definedName>
    <definedName name="え_金属製建具" localSheetId="5">'Ａ（北東）'!$AM$47:$AM$71</definedName>
    <definedName name="え_金属製建具" localSheetId="12">'Ｂ（屋根・床等）'!$BO$47:$BO$71</definedName>
    <definedName name="外壁断熱工法" localSheetId="2">断熱仕様一覧!$E$32:$E$35</definedName>
    <definedName name="建具の構成_西" localSheetId="10">'Ａ（西）'!$O$173:$O$187</definedName>
    <definedName name="建具の構成_東" localSheetId="6">'Ａ（東）'!$K$173:$K$187</definedName>
    <definedName name="建具の構成_南" localSheetId="8">'Ａ（南）'!$M$173:$M$187</definedName>
    <definedName name="建具の構成_南西" localSheetId="9">'Ａ（南西）'!$N$173:$N$187</definedName>
    <definedName name="建具の構成_南東" localSheetId="7">'Ａ（南東）'!$L$173:$L$187</definedName>
    <definedName name="建具の構成_北" localSheetId="4">'Ａ（北）'!$B$173:$B$187</definedName>
    <definedName name="建具の構成_北西" localSheetId="11">'Ａ（北西）'!$P$173:$P$187</definedName>
    <definedName name="建具の構成_北東" localSheetId="5">'Ａ（北東）'!$J$173:$J$187</definedName>
    <definedName name="建具の仕様_屋根床" localSheetId="12">'Ｂ（屋根・床等）'!$BL$46:$BO$46</definedName>
    <definedName name="建具の仕様_西" localSheetId="10">'Ａ（西）'!$BD$46:$BG$46</definedName>
    <definedName name="建具の仕様_東" localSheetId="6">'Ａ（東）'!$AN$46:$AQ$46</definedName>
    <definedName name="建具の仕様_南" localSheetId="8">'Ａ（南）'!$AV$46:$AY$46</definedName>
    <definedName name="建具の仕様_南西" localSheetId="9">'Ａ（南西）'!$AZ$46:$BC$46</definedName>
    <definedName name="建具の仕様_南東" localSheetId="7">'Ａ（南東）'!$AR$46:$AU$46</definedName>
    <definedName name="建具の仕様_北" localSheetId="4">'Ａ（北）'!$AF$46:$AI$46</definedName>
    <definedName name="建具の仕様_北西" localSheetId="11">'Ａ（北西）'!$BH$46:$BK$46</definedName>
    <definedName name="建具の仕様_北東" localSheetId="5">'Ａ（北東）'!$AJ$46:$AM$46</definedName>
    <definedName name="材料名" localSheetId="2">断熱仕様一覧!$A$31:$A$209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05" l="1"/>
  <c r="Y22" i="122"/>
  <c r="Y20" i="122"/>
  <c r="Y19" i="122"/>
  <c r="Y18" i="122"/>
  <c r="Y21" i="122"/>
  <c r="T139" i="117"/>
  <c r="AA21" i="122"/>
  <c r="AA20" i="122"/>
  <c r="AD19" i="122"/>
  <c r="AG19" i="122"/>
  <c r="AF19" i="122"/>
  <c r="AA19" i="122"/>
  <c r="AA66" i="115"/>
  <c r="X95" i="115"/>
  <c r="T46" i="115"/>
  <c r="W103" i="92"/>
  <c r="T46" i="92"/>
  <c r="U106" i="92"/>
  <c r="AB103" i="92"/>
  <c r="AB88" i="92"/>
  <c r="S42" i="77"/>
  <c r="S41" i="77"/>
  <c r="W134" i="77"/>
  <c r="V134" i="77"/>
  <c r="U134" i="77"/>
  <c r="T134" i="77"/>
  <c r="S134" i="77"/>
  <c r="W133" i="77"/>
  <c r="V133" i="77"/>
  <c r="U133" i="77"/>
  <c r="T133" i="77"/>
  <c r="S133" i="77"/>
  <c r="W132" i="77"/>
  <c r="V132" i="77"/>
  <c r="U132" i="77"/>
  <c r="T132" i="77"/>
  <c r="S132" i="77"/>
  <c r="W131" i="77"/>
  <c r="V131" i="77"/>
  <c r="U131" i="77"/>
  <c r="T131" i="77"/>
  <c r="S131" i="77"/>
  <c r="W130" i="77"/>
  <c r="V130" i="77"/>
  <c r="U130" i="77"/>
  <c r="T130" i="77"/>
  <c r="S130" i="77"/>
  <c r="W129" i="77"/>
  <c r="V129" i="77"/>
  <c r="U129" i="77"/>
  <c r="T129" i="77"/>
  <c r="S129" i="77"/>
  <c r="W128" i="77"/>
  <c r="V128" i="77"/>
  <c r="U128" i="77"/>
  <c r="T128" i="77"/>
  <c r="S128" i="77"/>
  <c r="W127" i="77"/>
  <c r="V127" i="77"/>
  <c r="U127" i="77"/>
  <c r="T127" i="77"/>
  <c r="S127" i="77"/>
  <c r="W126" i="77"/>
  <c r="V126" i="77"/>
  <c r="U126" i="77"/>
  <c r="T126" i="77"/>
  <c r="S126" i="77"/>
  <c r="W125" i="77"/>
  <c r="V125" i="77"/>
  <c r="U125" i="77"/>
  <c r="T125" i="77"/>
  <c r="S125" i="77"/>
  <c r="W124" i="77"/>
  <c r="V124" i="77"/>
  <c r="U124" i="77"/>
  <c r="T124" i="77"/>
  <c r="S124" i="77"/>
  <c r="W123" i="77"/>
  <c r="V123" i="77"/>
  <c r="U123" i="77"/>
  <c r="T123" i="77"/>
  <c r="S123" i="77"/>
  <c r="W122" i="77"/>
  <c r="V122" i="77"/>
  <c r="U122" i="77"/>
  <c r="T122" i="77"/>
  <c r="S122" i="77"/>
  <c r="W121" i="77"/>
  <c r="V121" i="77"/>
  <c r="U121" i="77"/>
  <c r="T121" i="77"/>
  <c r="S121" i="77"/>
  <c r="W120" i="77"/>
  <c r="V120" i="77"/>
  <c r="U120" i="77"/>
  <c r="T120" i="77"/>
  <c r="S120" i="77"/>
  <c r="W119" i="77"/>
  <c r="V119" i="77"/>
  <c r="U119" i="77"/>
  <c r="T119" i="77"/>
  <c r="S119" i="77"/>
  <c r="W118" i="77"/>
  <c r="V118" i="77"/>
  <c r="U118" i="77"/>
  <c r="T118" i="77"/>
  <c r="S118" i="77"/>
  <c r="W117" i="77"/>
  <c r="V117" i="77"/>
  <c r="U117" i="77"/>
  <c r="T117" i="77"/>
  <c r="S117" i="77"/>
  <c r="W116" i="77"/>
  <c r="V116" i="77"/>
  <c r="U116" i="77"/>
  <c r="T116" i="77"/>
  <c r="S116" i="77"/>
  <c r="W115" i="77"/>
  <c r="V115" i="77"/>
  <c r="U115" i="77"/>
  <c r="T115" i="77"/>
  <c r="S115" i="77"/>
  <c r="W114" i="77"/>
  <c r="V114" i="77"/>
  <c r="U114" i="77"/>
  <c r="T114" i="77"/>
  <c r="S114" i="77"/>
  <c r="W113" i="77"/>
  <c r="V113" i="77"/>
  <c r="U113" i="77"/>
  <c r="T113" i="77"/>
  <c r="S113" i="77"/>
  <c r="W112" i="77"/>
  <c r="V112" i="77"/>
  <c r="U112" i="77"/>
  <c r="T112" i="77"/>
  <c r="S112" i="77"/>
  <c r="W111" i="77"/>
  <c r="V111" i="77"/>
  <c r="U111" i="77"/>
  <c r="T111" i="77"/>
  <c r="S111" i="77"/>
  <c r="W110" i="77"/>
  <c r="V110" i="77"/>
  <c r="U110" i="77"/>
  <c r="T110" i="77"/>
  <c r="S110" i="77"/>
  <c r="W109" i="77"/>
  <c r="V109" i="77"/>
  <c r="U109" i="77"/>
  <c r="T109" i="77"/>
  <c r="S109" i="77"/>
  <c r="W108" i="77"/>
  <c r="V108" i="77"/>
  <c r="U108" i="77"/>
  <c r="T108" i="77"/>
  <c r="S108" i="77"/>
  <c r="W107" i="77"/>
  <c r="V107" i="77"/>
  <c r="U107" i="77"/>
  <c r="T107" i="77"/>
  <c r="S107" i="77"/>
  <c r="W106" i="77"/>
  <c r="V106" i="77"/>
  <c r="U106" i="77"/>
  <c r="T106" i="77"/>
  <c r="S106" i="77"/>
  <c r="W105" i="77"/>
  <c r="V105" i="77"/>
  <c r="U105" i="77"/>
  <c r="T105" i="77"/>
  <c r="S105" i="77"/>
  <c r="W104" i="77"/>
  <c r="V104" i="77"/>
  <c r="U104" i="77"/>
  <c r="T104" i="77"/>
  <c r="S104" i="77"/>
  <c r="W103" i="77"/>
  <c r="V103" i="77"/>
  <c r="U103" i="77"/>
  <c r="T103" i="77"/>
  <c r="S103" i="77"/>
  <c r="W102" i="77"/>
  <c r="V102" i="77"/>
  <c r="U102" i="77"/>
  <c r="T102" i="77"/>
  <c r="S102" i="77"/>
  <c r="W101" i="77"/>
  <c r="V101" i="77"/>
  <c r="U101" i="77"/>
  <c r="T101" i="77"/>
  <c r="S101" i="77"/>
  <c r="W100" i="77"/>
  <c r="V100" i="77"/>
  <c r="U100" i="77"/>
  <c r="T100" i="77"/>
  <c r="S100" i="77"/>
  <c r="W99" i="77"/>
  <c r="V99" i="77"/>
  <c r="U99" i="77"/>
  <c r="T99" i="77"/>
  <c r="S99" i="77"/>
  <c r="W98" i="77"/>
  <c r="V98" i="77"/>
  <c r="U98" i="77"/>
  <c r="T98" i="77"/>
  <c r="S98" i="77"/>
  <c r="W97" i="77"/>
  <c r="V97" i="77"/>
  <c r="U97" i="77"/>
  <c r="T97" i="77"/>
  <c r="S97" i="77"/>
  <c r="W96" i="77"/>
  <c r="V96" i="77"/>
  <c r="U96" i="77"/>
  <c r="T96" i="77"/>
  <c r="S96" i="77"/>
  <c r="W95" i="77"/>
  <c r="V95" i="77"/>
  <c r="U95" i="77"/>
  <c r="T95" i="77"/>
  <c r="S95" i="77"/>
  <c r="W94" i="77"/>
  <c r="V94" i="77"/>
  <c r="U94" i="77"/>
  <c r="T94" i="77"/>
  <c r="S94" i="77"/>
  <c r="W93" i="77"/>
  <c r="V93" i="77"/>
  <c r="U93" i="77"/>
  <c r="T93" i="77"/>
  <c r="S93" i="77"/>
  <c r="W92" i="77"/>
  <c r="V92" i="77"/>
  <c r="U92" i="77"/>
  <c r="T92" i="77"/>
  <c r="S92" i="77"/>
  <c r="W91" i="77"/>
  <c r="V91" i="77"/>
  <c r="U91" i="77"/>
  <c r="T91" i="77"/>
  <c r="S91" i="77"/>
  <c r="W90" i="77"/>
  <c r="V90" i="77"/>
  <c r="U90" i="77"/>
  <c r="T90" i="77"/>
  <c r="S90" i="77"/>
  <c r="W89" i="77"/>
  <c r="V89" i="77"/>
  <c r="U89" i="77"/>
  <c r="T89" i="77"/>
  <c r="S89" i="77"/>
  <c r="W88" i="77"/>
  <c r="V88" i="77"/>
  <c r="U88" i="77"/>
  <c r="T88" i="77"/>
  <c r="S88" i="77"/>
  <c r="W87" i="77"/>
  <c r="V87" i="77"/>
  <c r="U87" i="77"/>
  <c r="T87" i="77"/>
  <c r="S87" i="77"/>
  <c r="W86" i="77"/>
  <c r="V86" i="77"/>
  <c r="U86" i="77"/>
  <c r="T86" i="77"/>
  <c r="S86" i="77"/>
  <c r="W85" i="77"/>
  <c r="V85" i="77"/>
  <c r="U85" i="77"/>
  <c r="T85" i="77"/>
  <c r="S85" i="77"/>
  <c r="W84" i="77"/>
  <c r="V84" i="77"/>
  <c r="U84" i="77"/>
  <c r="T84" i="77"/>
  <c r="S84" i="77"/>
  <c r="W83" i="77"/>
  <c r="V83" i="77"/>
  <c r="U83" i="77"/>
  <c r="T83" i="77"/>
  <c r="S83" i="77"/>
  <c r="W82" i="77"/>
  <c r="V82" i="77"/>
  <c r="U82" i="77"/>
  <c r="T82" i="77"/>
  <c r="S82" i="77"/>
  <c r="W81" i="77"/>
  <c r="V81" i="77"/>
  <c r="U81" i="77"/>
  <c r="T81" i="77"/>
  <c r="S81" i="77"/>
  <c r="W80" i="77"/>
  <c r="V80" i="77"/>
  <c r="U80" i="77"/>
  <c r="T80" i="77"/>
  <c r="S80" i="77"/>
  <c r="W79" i="77"/>
  <c r="V79" i="77"/>
  <c r="U79" i="77"/>
  <c r="T79" i="77"/>
  <c r="S79" i="77"/>
  <c r="W78" i="77"/>
  <c r="V78" i="77"/>
  <c r="U78" i="77"/>
  <c r="T78" i="77"/>
  <c r="S78" i="77"/>
  <c r="W77" i="77"/>
  <c r="V77" i="77"/>
  <c r="U77" i="77"/>
  <c r="T77" i="77"/>
  <c r="S77" i="77"/>
  <c r="W76" i="77"/>
  <c r="V76" i="77"/>
  <c r="U76" i="77"/>
  <c r="T76" i="77"/>
  <c r="S76" i="77"/>
  <c r="W75" i="77"/>
  <c r="V75" i="77"/>
  <c r="U75" i="77"/>
  <c r="T75" i="77"/>
  <c r="S75" i="77"/>
  <c r="W74" i="77"/>
  <c r="V74" i="77"/>
  <c r="U74" i="77"/>
  <c r="T74" i="77"/>
  <c r="S74" i="77"/>
  <c r="W73" i="77"/>
  <c r="V73" i="77"/>
  <c r="U73" i="77"/>
  <c r="T73" i="77"/>
  <c r="S73" i="77"/>
  <c r="W72" i="77"/>
  <c r="V72" i="77"/>
  <c r="U72" i="77"/>
  <c r="T72" i="77"/>
  <c r="S72" i="77"/>
  <c r="W71" i="77"/>
  <c r="V71" i="77"/>
  <c r="U71" i="77"/>
  <c r="T71" i="77"/>
  <c r="S71" i="77"/>
  <c r="W70" i="77"/>
  <c r="V70" i="77"/>
  <c r="U70" i="77"/>
  <c r="T70" i="77"/>
  <c r="S70" i="77"/>
  <c r="W69" i="77"/>
  <c r="V69" i="77"/>
  <c r="U69" i="77"/>
  <c r="T69" i="77"/>
  <c r="S69" i="77"/>
  <c r="W68" i="77"/>
  <c r="V68" i="77"/>
  <c r="U68" i="77"/>
  <c r="T68" i="77"/>
  <c r="S68" i="77"/>
  <c r="W67" i="77"/>
  <c r="V67" i="77"/>
  <c r="U67" i="77"/>
  <c r="T67" i="77"/>
  <c r="S67" i="77"/>
  <c r="W66" i="77"/>
  <c r="V66" i="77"/>
  <c r="U66" i="77"/>
  <c r="T66" i="77"/>
  <c r="S66" i="77"/>
  <c r="W65" i="77"/>
  <c r="V65" i="77"/>
  <c r="U65" i="77"/>
  <c r="T65" i="77"/>
  <c r="S65" i="77"/>
  <c r="W64" i="77"/>
  <c r="V64" i="77"/>
  <c r="U64" i="77"/>
  <c r="T64" i="77"/>
  <c r="S64" i="77"/>
  <c r="W63" i="77"/>
  <c r="V63" i="77"/>
  <c r="U63" i="77"/>
  <c r="T63" i="77"/>
  <c r="S63" i="77"/>
  <c r="W62" i="77"/>
  <c r="V62" i="77"/>
  <c r="U62" i="77"/>
  <c r="T62" i="77"/>
  <c r="S62" i="77"/>
  <c r="W61" i="77"/>
  <c r="V61" i="77"/>
  <c r="U61" i="77"/>
  <c r="T61" i="77"/>
  <c r="S61" i="77"/>
  <c r="W60" i="77"/>
  <c r="V60" i="77"/>
  <c r="U60" i="77"/>
  <c r="T60" i="77"/>
  <c r="S60" i="77"/>
  <c r="W59" i="77"/>
  <c r="V59" i="77"/>
  <c r="U59" i="77"/>
  <c r="T59" i="77"/>
  <c r="S59" i="77"/>
  <c r="W58" i="77"/>
  <c r="V58" i="77"/>
  <c r="U58" i="77"/>
  <c r="T58" i="77"/>
  <c r="S58" i="77"/>
  <c r="W57" i="77"/>
  <c r="V57" i="77"/>
  <c r="U57" i="77"/>
  <c r="T57" i="77"/>
  <c r="S57" i="77"/>
  <c r="W56" i="77"/>
  <c r="V56" i="77"/>
  <c r="U56" i="77"/>
  <c r="T56" i="77"/>
  <c r="S56" i="77"/>
  <c r="W55" i="77"/>
  <c r="V55" i="77"/>
  <c r="U55" i="77"/>
  <c r="T55" i="77"/>
  <c r="S55" i="77"/>
  <c r="W54" i="77"/>
  <c r="V54" i="77"/>
  <c r="U54" i="77"/>
  <c r="T54" i="77"/>
  <c r="S54" i="77"/>
  <c r="W53" i="77"/>
  <c r="V53" i="77"/>
  <c r="U53" i="77"/>
  <c r="T53" i="77"/>
  <c r="S53" i="77"/>
  <c r="W52" i="77"/>
  <c r="V52" i="77"/>
  <c r="U52" i="77"/>
  <c r="T52" i="77"/>
  <c r="S52" i="77"/>
  <c r="W51" i="77"/>
  <c r="V51" i="77"/>
  <c r="U51" i="77"/>
  <c r="T51" i="77"/>
  <c r="S51" i="77"/>
  <c r="W50" i="77"/>
  <c r="V50" i="77"/>
  <c r="U50" i="77"/>
  <c r="T50" i="77"/>
  <c r="S50" i="77"/>
  <c r="W49" i="77"/>
  <c r="V49" i="77"/>
  <c r="U49" i="77"/>
  <c r="T49" i="77"/>
  <c r="S49" i="77"/>
  <c r="W48" i="77"/>
  <c r="V48" i="77"/>
  <c r="U48" i="77"/>
  <c r="T48" i="77"/>
  <c r="S48" i="77"/>
  <c r="W47" i="77"/>
  <c r="V47" i="77"/>
  <c r="U47" i="77"/>
  <c r="T47" i="77"/>
  <c r="S47" i="77"/>
  <c r="W46" i="77"/>
  <c r="V46" i="77"/>
  <c r="U46" i="77"/>
  <c r="T46" i="77"/>
  <c r="S46" i="77"/>
  <c r="W45" i="77"/>
  <c r="V45" i="77"/>
  <c r="U45" i="77"/>
  <c r="T45" i="77"/>
  <c r="S45" i="77"/>
  <c r="W44" i="77"/>
  <c r="V44" i="77"/>
  <c r="U44" i="77"/>
  <c r="T44" i="77"/>
  <c r="S44" i="77"/>
  <c r="W43" i="77"/>
  <c r="V43" i="77"/>
  <c r="U43" i="77"/>
  <c r="T43" i="77"/>
  <c r="S43" i="77"/>
  <c r="W42" i="77"/>
  <c r="V42" i="77"/>
  <c r="U42" i="77"/>
  <c r="T42" i="77"/>
  <c r="W41" i="77"/>
  <c r="V41" i="77"/>
  <c r="U41" i="77"/>
  <c r="T41" i="77"/>
  <c r="U79" i="92"/>
  <c r="T46" i="116"/>
  <c r="AC139" i="115"/>
  <c r="AB139" i="115"/>
  <c r="AA139" i="115"/>
  <c r="Z139" i="115"/>
  <c r="Y139" i="115"/>
  <c r="X139" i="115"/>
  <c r="W139" i="115"/>
  <c r="V139" i="115"/>
  <c r="U139" i="115"/>
  <c r="T139" i="115"/>
  <c r="AC138" i="115"/>
  <c r="AB138" i="115"/>
  <c r="AA138" i="115"/>
  <c r="Z138" i="115"/>
  <c r="Y138" i="115"/>
  <c r="X138" i="115"/>
  <c r="W138" i="115"/>
  <c r="V138" i="115"/>
  <c r="U138" i="115"/>
  <c r="T138" i="115"/>
  <c r="AC137" i="115"/>
  <c r="AB137" i="115"/>
  <c r="AA137" i="115"/>
  <c r="Z137" i="115"/>
  <c r="Y137" i="115"/>
  <c r="X137" i="115"/>
  <c r="W137" i="115"/>
  <c r="V137" i="115"/>
  <c r="U137" i="115"/>
  <c r="T137" i="115"/>
  <c r="AC136" i="115"/>
  <c r="AB136" i="115"/>
  <c r="AA136" i="115"/>
  <c r="Z136" i="115"/>
  <c r="Y136" i="115"/>
  <c r="X136" i="115"/>
  <c r="W136" i="115"/>
  <c r="V136" i="115"/>
  <c r="U136" i="115"/>
  <c r="T136" i="115"/>
  <c r="AC135" i="115"/>
  <c r="AB135" i="115"/>
  <c r="AA135" i="115"/>
  <c r="Z135" i="115"/>
  <c r="Y135" i="115"/>
  <c r="X135" i="115"/>
  <c r="W135" i="115"/>
  <c r="V135" i="115"/>
  <c r="U135" i="115"/>
  <c r="T135" i="115"/>
  <c r="AC134" i="115"/>
  <c r="AB134" i="115"/>
  <c r="AA134" i="115"/>
  <c r="Z134" i="115"/>
  <c r="Y134" i="115"/>
  <c r="X134" i="115"/>
  <c r="W134" i="115"/>
  <c r="V134" i="115"/>
  <c r="U134" i="115"/>
  <c r="T134" i="115"/>
  <c r="AC133" i="115"/>
  <c r="AB133" i="115"/>
  <c r="AA133" i="115"/>
  <c r="Z133" i="115"/>
  <c r="Y133" i="115"/>
  <c r="X133" i="115"/>
  <c r="W133" i="115"/>
  <c r="V133" i="115"/>
  <c r="U133" i="115"/>
  <c r="T133" i="115"/>
  <c r="AC132" i="115"/>
  <c r="AB132" i="115"/>
  <c r="AA132" i="115"/>
  <c r="Z132" i="115"/>
  <c r="Y132" i="115"/>
  <c r="X132" i="115"/>
  <c r="W132" i="115"/>
  <c r="V132" i="115"/>
  <c r="U132" i="115"/>
  <c r="T132" i="115"/>
  <c r="AC131" i="115"/>
  <c r="AB131" i="115"/>
  <c r="AA131" i="115"/>
  <c r="Z131" i="115"/>
  <c r="Y131" i="115"/>
  <c r="X131" i="115"/>
  <c r="W131" i="115"/>
  <c r="V131" i="115"/>
  <c r="U131" i="115"/>
  <c r="T131" i="115"/>
  <c r="AC130" i="115"/>
  <c r="AB130" i="115"/>
  <c r="AA130" i="115"/>
  <c r="Z130" i="115"/>
  <c r="Y130" i="115"/>
  <c r="X130" i="115"/>
  <c r="W130" i="115"/>
  <c r="V130" i="115"/>
  <c r="U130" i="115"/>
  <c r="T130" i="115"/>
  <c r="AC129" i="115"/>
  <c r="AB129" i="115"/>
  <c r="AA129" i="115"/>
  <c r="Z129" i="115"/>
  <c r="Y129" i="115"/>
  <c r="X129" i="115"/>
  <c r="W129" i="115"/>
  <c r="V129" i="115"/>
  <c r="U129" i="115"/>
  <c r="T129" i="115"/>
  <c r="AC128" i="115"/>
  <c r="AB128" i="115"/>
  <c r="AA128" i="115"/>
  <c r="Z128" i="115"/>
  <c r="Y128" i="115"/>
  <c r="X128" i="115"/>
  <c r="W128" i="115"/>
  <c r="V128" i="115"/>
  <c r="U128" i="115"/>
  <c r="T128" i="115"/>
  <c r="AC127" i="115"/>
  <c r="AB127" i="115"/>
  <c r="AA127" i="115"/>
  <c r="Z127" i="115"/>
  <c r="Y127" i="115"/>
  <c r="X127" i="115"/>
  <c r="W127" i="115"/>
  <c r="V127" i="115"/>
  <c r="U127" i="115"/>
  <c r="T127" i="115"/>
  <c r="AC126" i="115"/>
  <c r="AB126" i="115"/>
  <c r="AA126" i="115"/>
  <c r="Z126" i="115"/>
  <c r="Y126" i="115"/>
  <c r="X126" i="115"/>
  <c r="W126" i="115"/>
  <c r="V126" i="115"/>
  <c r="U126" i="115"/>
  <c r="T126" i="115"/>
  <c r="AC125" i="115"/>
  <c r="AB125" i="115"/>
  <c r="AA125" i="115"/>
  <c r="Z125" i="115"/>
  <c r="Y125" i="115"/>
  <c r="X125" i="115"/>
  <c r="W125" i="115"/>
  <c r="V125" i="115"/>
  <c r="U125" i="115"/>
  <c r="T125" i="115"/>
  <c r="AC124" i="115"/>
  <c r="AB124" i="115"/>
  <c r="AA124" i="115"/>
  <c r="Z124" i="115"/>
  <c r="Y124" i="115"/>
  <c r="X124" i="115"/>
  <c r="W124" i="115"/>
  <c r="V124" i="115"/>
  <c r="U124" i="115"/>
  <c r="T124" i="115"/>
  <c r="AC123" i="115"/>
  <c r="AB123" i="115"/>
  <c r="AA123" i="115"/>
  <c r="Z123" i="115"/>
  <c r="Y123" i="115"/>
  <c r="X123" i="115"/>
  <c r="W123" i="115"/>
  <c r="V123" i="115"/>
  <c r="U123" i="115"/>
  <c r="T123" i="115"/>
  <c r="AC122" i="115"/>
  <c r="AB122" i="115"/>
  <c r="AA122" i="115"/>
  <c r="Z122" i="115"/>
  <c r="Y122" i="115"/>
  <c r="X122" i="115"/>
  <c r="W122" i="115"/>
  <c r="V122" i="115"/>
  <c r="U122" i="115"/>
  <c r="T122" i="115"/>
  <c r="AC121" i="115"/>
  <c r="AB121" i="115"/>
  <c r="AA121" i="115"/>
  <c r="Z121" i="115"/>
  <c r="Y121" i="115"/>
  <c r="X121" i="115"/>
  <c r="W121" i="115"/>
  <c r="V121" i="115"/>
  <c r="U121" i="115"/>
  <c r="T121" i="115"/>
  <c r="AC120" i="115"/>
  <c r="AB120" i="115"/>
  <c r="AA120" i="115"/>
  <c r="Z120" i="115"/>
  <c r="Y120" i="115"/>
  <c r="X120" i="115"/>
  <c r="W120" i="115"/>
  <c r="V120" i="115"/>
  <c r="U120" i="115"/>
  <c r="T120" i="115"/>
  <c r="AC119" i="115"/>
  <c r="AB119" i="115"/>
  <c r="AA119" i="115"/>
  <c r="Z119" i="115"/>
  <c r="Y119" i="115"/>
  <c r="X119" i="115"/>
  <c r="W119" i="115"/>
  <c r="V119" i="115"/>
  <c r="U119" i="115"/>
  <c r="T119" i="115"/>
  <c r="AC118" i="115"/>
  <c r="AB118" i="115"/>
  <c r="AA118" i="115"/>
  <c r="Z118" i="115"/>
  <c r="Y118" i="115"/>
  <c r="X118" i="115"/>
  <c r="W118" i="115"/>
  <c r="V118" i="115"/>
  <c r="U118" i="115"/>
  <c r="T118" i="115"/>
  <c r="AC117" i="115"/>
  <c r="AB117" i="115"/>
  <c r="AA117" i="115"/>
  <c r="Z117" i="115"/>
  <c r="Y117" i="115"/>
  <c r="X117" i="115"/>
  <c r="W117" i="115"/>
  <c r="V117" i="115"/>
  <c r="U117" i="115"/>
  <c r="T117" i="115"/>
  <c r="AC116" i="115"/>
  <c r="AB116" i="115"/>
  <c r="AA116" i="115"/>
  <c r="Z116" i="115"/>
  <c r="Y116" i="115"/>
  <c r="X116" i="115"/>
  <c r="W116" i="115"/>
  <c r="V116" i="115"/>
  <c r="U116" i="115"/>
  <c r="T116" i="115"/>
  <c r="AC115" i="115"/>
  <c r="AB115" i="115"/>
  <c r="AA115" i="115"/>
  <c r="Z115" i="115"/>
  <c r="Y115" i="115"/>
  <c r="X115" i="115"/>
  <c r="W115" i="115"/>
  <c r="V115" i="115"/>
  <c r="U115" i="115"/>
  <c r="T115" i="115"/>
  <c r="AC114" i="115"/>
  <c r="AB114" i="115"/>
  <c r="AA114" i="115"/>
  <c r="Z114" i="115"/>
  <c r="Y114" i="115"/>
  <c r="X114" i="115"/>
  <c r="W114" i="115"/>
  <c r="V114" i="115"/>
  <c r="U114" i="115"/>
  <c r="T114" i="115"/>
  <c r="AC113" i="115"/>
  <c r="AB113" i="115"/>
  <c r="AA113" i="115"/>
  <c r="Z113" i="115"/>
  <c r="Y113" i="115"/>
  <c r="X113" i="115"/>
  <c r="W113" i="115"/>
  <c r="V113" i="115"/>
  <c r="U113" i="115"/>
  <c r="T113" i="115"/>
  <c r="AC112" i="115"/>
  <c r="AB112" i="115"/>
  <c r="AA112" i="115"/>
  <c r="Z112" i="115"/>
  <c r="Y112" i="115"/>
  <c r="X112" i="115"/>
  <c r="W112" i="115"/>
  <c r="V112" i="115"/>
  <c r="U112" i="115"/>
  <c r="T112" i="115"/>
  <c r="AC111" i="115"/>
  <c r="AB111" i="115"/>
  <c r="AA111" i="115"/>
  <c r="Z111" i="115"/>
  <c r="Y111" i="115"/>
  <c r="X111" i="115"/>
  <c r="W111" i="115"/>
  <c r="V111" i="115"/>
  <c r="U111" i="115"/>
  <c r="T111" i="115"/>
  <c r="AC110" i="115"/>
  <c r="AB110" i="115"/>
  <c r="AA110" i="115"/>
  <c r="Z110" i="115"/>
  <c r="Y110" i="115"/>
  <c r="X110" i="115"/>
  <c r="W110" i="115"/>
  <c r="V110" i="115"/>
  <c r="U110" i="115"/>
  <c r="T110" i="115"/>
  <c r="AC109" i="115"/>
  <c r="AB109" i="115"/>
  <c r="AA109" i="115"/>
  <c r="Z109" i="115"/>
  <c r="Y109" i="115"/>
  <c r="X109" i="115"/>
  <c r="W109" i="115"/>
  <c r="V109" i="115"/>
  <c r="U109" i="115"/>
  <c r="T109" i="115"/>
  <c r="AC108" i="115"/>
  <c r="AB108" i="115"/>
  <c r="AA108" i="115"/>
  <c r="Z108" i="115"/>
  <c r="Y108" i="115"/>
  <c r="X108" i="115"/>
  <c r="W108" i="115"/>
  <c r="V108" i="115"/>
  <c r="U108" i="115"/>
  <c r="T108" i="115"/>
  <c r="AC107" i="115"/>
  <c r="AB107" i="115"/>
  <c r="AA107" i="115"/>
  <c r="Z107" i="115"/>
  <c r="Y107" i="115"/>
  <c r="X107" i="115"/>
  <c r="W107" i="115"/>
  <c r="V107" i="115"/>
  <c r="U107" i="115"/>
  <c r="T107" i="115"/>
  <c r="AC106" i="115"/>
  <c r="AB106" i="115"/>
  <c r="AA106" i="115"/>
  <c r="Z106" i="115"/>
  <c r="Y106" i="115"/>
  <c r="X106" i="115"/>
  <c r="W106" i="115"/>
  <c r="V106" i="115"/>
  <c r="U106" i="115"/>
  <c r="T106" i="115"/>
  <c r="AC105" i="115"/>
  <c r="AB105" i="115"/>
  <c r="AA105" i="115"/>
  <c r="Z105" i="115"/>
  <c r="Y105" i="115"/>
  <c r="X105" i="115"/>
  <c r="W105" i="115"/>
  <c r="V105" i="115"/>
  <c r="U105" i="115"/>
  <c r="T105" i="115"/>
  <c r="AC104" i="115"/>
  <c r="AB104" i="115"/>
  <c r="AA104" i="115"/>
  <c r="Z104" i="115"/>
  <c r="Y104" i="115"/>
  <c r="X104" i="115"/>
  <c r="W104" i="115"/>
  <c r="V104" i="115"/>
  <c r="U104" i="115"/>
  <c r="T104" i="115"/>
  <c r="AC103" i="115"/>
  <c r="AB103" i="115"/>
  <c r="AA103" i="115"/>
  <c r="Z103" i="115"/>
  <c r="Y103" i="115"/>
  <c r="X103" i="115"/>
  <c r="W103" i="115"/>
  <c r="V103" i="115"/>
  <c r="U103" i="115"/>
  <c r="T103" i="115"/>
  <c r="AC102" i="115"/>
  <c r="AB102" i="115"/>
  <c r="AA102" i="115"/>
  <c r="Z102" i="115"/>
  <c r="Y102" i="115"/>
  <c r="X102" i="115"/>
  <c r="W102" i="115"/>
  <c r="V102" i="115"/>
  <c r="U102" i="115"/>
  <c r="T102" i="115"/>
  <c r="AC101" i="115"/>
  <c r="AB101" i="115"/>
  <c r="AA101" i="115"/>
  <c r="Z101" i="115"/>
  <c r="Y101" i="115"/>
  <c r="X101" i="115"/>
  <c r="W101" i="115"/>
  <c r="V101" i="115"/>
  <c r="U101" i="115"/>
  <c r="T101" i="115"/>
  <c r="AC100" i="115"/>
  <c r="AB100" i="115"/>
  <c r="AA100" i="115"/>
  <c r="Z100" i="115"/>
  <c r="Y100" i="115"/>
  <c r="X100" i="115"/>
  <c r="W100" i="115"/>
  <c r="V100" i="115"/>
  <c r="U100" i="115"/>
  <c r="T100" i="115"/>
  <c r="AC99" i="115"/>
  <c r="AB99" i="115"/>
  <c r="AA99" i="115"/>
  <c r="Z99" i="115"/>
  <c r="Y99" i="115"/>
  <c r="X99" i="115"/>
  <c r="W99" i="115"/>
  <c r="V99" i="115"/>
  <c r="U99" i="115"/>
  <c r="T99" i="115"/>
  <c r="AC98" i="115"/>
  <c r="AB98" i="115"/>
  <c r="AA98" i="115"/>
  <c r="Z98" i="115"/>
  <c r="Y98" i="115"/>
  <c r="X98" i="115"/>
  <c r="W98" i="115"/>
  <c r="V98" i="115"/>
  <c r="U98" i="115"/>
  <c r="T98" i="115"/>
  <c r="AC97" i="115"/>
  <c r="AB97" i="115"/>
  <c r="AA97" i="115"/>
  <c r="Z97" i="115"/>
  <c r="Y97" i="115"/>
  <c r="X97" i="115"/>
  <c r="W97" i="115"/>
  <c r="V97" i="115"/>
  <c r="U97" i="115"/>
  <c r="T97" i="115"/>
  <c r="AC96" i="115"/>
  <c r="AB96" i="115"/>
  <c r="AA96" i="115"/>
  <c r="Z96" i="115"/>
  <c r="Y96" i="115"/>
  <c r="X96" i="115"/>
  <c r="W96" i="115"/>
  <c r="V96" i="115"/>
  <c r="U96" i="115"/>
  <c r="T96" i="115"/>
  <c r="AC95" i="115"/>
  <c r="AB95" i="115"/>
  <c r="AA95" i="115"/>
  <c r="Z95" i="115"/>
  <c r="Y95" i="115"/>
  <c r="W95" i="115"/>
  <c r="V95" i="115"/>
  <c r="U95" i="115"/>
  <c r="T95" i="115"/>
  <c r="AC94" i="115"/>
  <c r="AB94" i="115"/>
  <c r="AA94" i="115"/>
  <c r="Z94" i="115"/>
  <c r="Y94" i="115"/>
  <c r="X94" i="115"/>
  <c r="W94" i="115"/>
  <c r="V94" i="115"/>
  <c r="U94" i="115"/>
  <c r="T94" i="115"/>
  <c r="AC93" i="115"/>
  <c r="AB93" i="115"/>
  <c r="AA93" i="115"/>
  <c r="Z93" i="115"/>
  <c r="Y93" i="115"/>
  <c r="X93" i="115"/>
  <c r="W93" i="115"/>
  <c r="V93" i="115"/>
  <c r="U93" i="115"/>
  <c r="T93" i="115"/>
  <c r="AC92" i="115"/>
  <c r="AB92" i="115"/>
  <c r="AA92" i="115"/>
  <c r="Z92" i="115"/>
  <c r="Y92" i="115"/>
  <c r="X92" i="115"/>
  <c r="W92" i="115"/>
  <c r="V92" i="115"/>
  <c r="U92" i="115"/>
  <c r="T92" i="115"/>
  <c r="AC91" i="115"/>
  <c r="AB91" i="115"/>
  <c r="AA91" i="115"/>
  <c r="Z91" i="115"/>
  <c r="Y91" i="115"/>
  <c r="X91" i="115"/>
  <c r="W91" i="115"/>
  <c r="V91" i="115"/>
  <c r="U91" i="115"/>
  <c r="T91" i="115"/>
  <c r="AC90" i="115"/>
  <c r="AB90" i="115"/>
  <c r="AA90" i="115"/>
  <c r="Z90" i="115"/>
  <c r="Y90" i="115"/>
  <c r="X90" i="115"/>
  <c r="W90" i="115"/>
  <c r="V90" i="115"/>
  <c r="U90" i="115"/>
  <c r="T90" i="115"/>
  <c r="AC89" i="115"/>
  <c r="AB89" i="115"/>
  <c r="AA89" i="115"/>
  <c r="Z89" i="115"/>
  <c r="Y89" i="115"/>
  <c r="X89" i="115"/>
  <c r="W89" i="115"/>
  <c r="V89" i="115"/>
  <c r="U89" i="115"/>
  <c r="T89" i="115"/>
  <c r="AC88" i="115"/>
  <c r="AB88" i="115"/>
  <c r="AA88" i="115"/>
  <c r="Z88" i="115"/>
  <c r="Y88" i="115"/>
  <c r="X88" i="115"/>
  <c r="W88" i="115"/>
  <c r="V88" i="115"/>
  <c r="U88" i="115"/>
  <c r="T88" i="115"/>
  <c r="AC87" i="115"/>
  <c r="AB87" i="115"/>
  <c r="AA87" i="115"/>
  <c r="Z87" i="115"/>
  <c r="Y87" i="115"/>
  <c r="X87" i="115"/>
  <c r="W87" i="115"/>
  <c r="V87" i="115"/>
  <c r="U87" i="115"/>
  <c r="T87" i="115"/>
  <c r="AC86" i="115"/>
  <c r="AB86" i="115"/>
  <c r="AA86" i="115"/>
  <c r="Z86" i="115"/>
  <c r="Y86" i="115"/>
  <c r="X86" i="115"/>
  <c r="W86" i="115"/>
  <c r="V86" i="115"/>
  <c r="U86" i="115"/>
  <c r="T86" i="115"/>
  <c r="AC85" i="115"/>
  <c r="AB85" i="115"/>
  <c r="AA85" i="115"/>
  <c r="Z85" i="115"/>
  <c r="Y85" i="115"/>
  <c r="X85" i="115"/>
  <c r="W85" i="115"/>
  <c r="V85" i="115"/>
  <c r="U85" i="115"/>
  <c r="T85" i="115"/>
  <c r="AC84" i="115"/>
  <c r="AB84" i="115"/>
  <c r="AA84" i="115"/>
  <c r="Z84" i="115"/>
  <c r="Y84" i="115"/>
  <c r="X84" i="115"/>
  <c r="W84" i="115"/>
  <c r="V84" i="115"/>
  <c r="U84" i="115"/>
  <c r="T84" i="115"/>
  <c r="AC83" i="115"/>
  <c r="AB83" i="115"/>
  <c r="AA83" i="115"/>
  <c r="Z83" i="115"/>
  <c r="Y83" i="115"/>
  <c r="X83" i="115"/>
  <c r="W83" i="115"/>
  <c r="V83" i="115"/>
  <c r="U83" i="115"/>
  <c r="T83" i="115"/>
  <c r="AC82" i="115"/>
  <c r="AB82" i="115"/>
  <c r="AA82" i="115"/>
  <c r="Z82" i="115"/>
  <c r="Y82" i="115"/>
  <c r="X82" i="115"/>
  <c r="W82" i="115"/>
  <c r="V82" i="115"/>
  <c r="U82" i="115"/>
  <c r="T82" i="115"/>
  <c r="AC81" i="115"/>
  <c r="AB81" i="115"/>
  <c r="AA81" i="115"/>
  <c r="Z81" i="115"/>
  <c r="Y81" i="115"/>
  <c r="X81" i="115"/>
  <c r="W81" i="115"/>
  <c r="V81" i="115"/>
  <c r="U81" i="115"/>
  <c r="T81" i="115"/>
  <c r="AC80" i="115"/>
  <c r="AB80" i="115"/>
  <c r="AA80" i="115"/>
  <c r="Z80" i="115"/>
  <c r="Y80" i="115"/>
  <c r="X80" i="115"/>
  <c r="W80" i="115"/>
  <c r="V80" i="115"/>
  <c r="U80" i="115"/>
  <c r="T80" i="115"/>
  <c r="AC79" i="115"/>
  <c r="AB79" i="115"/>
  <c r="AA79" i="115"/>
  <c r="Z79" i="115"/>
  <c r="Y79" i="115"/>
  <c r="X79" i="115"/>
  <c r="W79" i="115"/>
  <c r="V79" i="115"/>
  <c r="U79" i="115"/>
  <c r="T79" i="115"/>
  <c r="AC78" i="115"/>
  <c r="AB78" i="115"/>
  <c r="AA78" i="115"/>
  <c r="Z78" i="115"/>
  <c r="Y78" i="115"/>
  <c r="X78" i="115"/>
  <c r="W78" i="115"/>
  <c r="V78" i="115"/>
  <c r="U78" i="115"/>
  <c r="T78" i="115"/>
  <c r="AC77" i="115"/>
  <c r="AB77" i="115"/>
  <c r="AA77" i="115"/>
  <c r="Z77" i="115"/>
  <c r="Y77" i="115"/>
  <c r="X77" i="115"/>
  <c r="W77" i="115"/>
  <c r="V77" i="115"/>
  <c r="U77" i="115"/>
  <c r="T77" i="115"/>
  <c r="Y85" i="92"/>
  <c r="AB113" i="92"/>
  <c r="AC113" i="92"/>
  <c r="AA113" i="92"/>
  <c r="Z113" i="92"/>
  <c r="Y113" i="92"/>
  <c r="X113" i="92"/>
  <c r="W113" i="92"/>
  <c r="V113" i="92"/>
  <c r="U113" i="92"/>
  <c r="T113" i="92"/>
  <c r="AC112" i="92"/>
  <c r="AB112" i="92"/>
  <c r="AA112" i="92"/>
  <c r="Z112" i="92"/>
  <c r="Y112" i="92"/>
  <c r="X112" i="92"/>
  <c r="W112" i="92"/>
  <c r="V112" i="92"/>
  <c r="T112" i="92"/>
  <c r="U112" i="92"/>
  <c r="AC111" i="92"/>
  <c r="AB111" i="92"/>
  <c r="AA111" i="92"/>
  <c r="Z111" i="92"/>
  <c r="Y111" i="92"/>
  <c r="X111" i="92"/>
  <c r="W111" i="92"/>
  <c r="V111" i="92"/>
  <c r="U111" i="92"/>
  <c r="T111" i="92"/>
  <c r="AC110" i="92"/>
  <c r="AB110" i="92"/>
  <c r="AA110" i="92"/>
  <c r="Z110" i="92"/>
  <c r="Y110" i="92"/>
  <c r="X110" i="92"/>
  <c r="W110" i="92"/>
  <c r="V110" i="92"/>
  <c r="U110" i="92"/>
  <c r="T110" i="92"/>
  <c r="AC109" i="92"/>
  <c r="AB109" i="92"/>
  <c r="AA109" i="92"/>
  <c r="Z109" i="92"/>
  <c r="Y109" i="92"/>
  <c r="X109" i="92"/>
  <c r="W109" i="92"/>
  <c r="V109" i="92"/>
  <c r="U109" i="92"/>
  <c r="T109" i="92"/>
  <c r="AC108" i="92"/>
  <c r="AB108" i="92"/>
  <c r="AA108" i="92"/>
  <c r="Z108" i="92"/>
  <c r="Y108" i="92"/>
  <c r="X108" i="92"/>
  <c r="W108" i="92"/>
  <c r="V108" i="92"/>
  <c r="U108" i="92"/>
  <c r="T108" i="92"/>
  <c r="AC107" i="92"/>
  <c r="AB107" i="92"/>
  <c r="AA107" i="92"/>
  <c r="Z107" i="92"/>
  <c r="Y107" i="92"/>
  <c r="X107" i="92"/>
  <c r="W107" i="92"/>
  <c r="V107" i="92"/>
  <c r="U107" i="92"/>
  <c r="T107" i="92"/>
  <c r="AC106" i="92"/>
  <c r="AB106" i="92"/>
  <c r="AA106" i="92"/>
  <c r="Z106" i="92"/>
  <c r="Y106" i="92"/>
  <c r="X106" i="92"/>
  <c r="W106" i="92"/>
  <c r="V106" i="92"/>
  <c r="T106" i="92"/>
  <c r="AC105" i="92"/>
  <c r="AB105" i="92"/>
  <c r="AA105" i="92"/>
  <c r="Z105" i="92"/>
  <c r="Y105" i="92"/>
  <c r="X105" i="92"/>
  <c r="W105" i="92"/>
  <c r="V105" i="92"/>
  <c r="U105" i="92"/>
  <c r="T105" i="92"/>
  <c r="AC104" i="92"/>
  <c r="AB104" i="92"/>
  <c r="AA104" i="92"/>
  <c r="Z104" i="92"/>
  <c r="Y104" i="92"/>
  <c r="X104" i="92"/>
  <c r="W104" i="92"/>
  <c r="V104" i="92"/>
  <c r="U104" i="92"/>
  <c r="T104" i="92"/>
  <c r="AC103" i="92"/>
  <c r="AA103" i="92"/>
  <c r="Z103" i="92"/>
  <c r="Y103" i="92"/>
  <c r="X103" i="92"/>
  <c r="V103" i="92"/>
  <c r="U103" i="92"/>
  <c r="T103" i="92"/>
  <c r="AC102" i="92"/>
  <c r="AB102" i="92"/>
  <c r="AA102" i="92"/>
  <c r="Z102" i="92"/>
  <c r="Y102" i="92"/>
  <c r="X102" i="92"/>
  <c r="W102" i="92"/>
  <c r="V102" i="92"/>
  <c r="U102" i="92"/>
  <c r="T102" i="92"/>
  <c r="AC101" i="92"/>
  <c r="AB101" i="92"/>
  <c r="AA101" i="92"/>
  <c r="Z101" i="92"/>
  <c r="Y101" i="92"/>
  <c r="X101" i="92"/>
  <c r="W101" i="92"/>
  <c r="V101" i="92"/>
  <c r="U101" i="92"/>
  <c r="T101" i="92"/>
  <c r="AC100" i="92"/>
  <c r="AB100" i="92"/>
  <c r="AA100" i="92"/>
  <c r="Z100" i="92"/>
  <c r="Y100" i="92"/>
  <c r="X100" i="92"/>
  <c r="W100" i="92"/>
  <c r="V100" i="92"/>
  <c r="U100" i="92"/>
  <c r="T100" i="92"/>
  <c r="AC99" i="92"/>
  <c r="AB99" i="92"/>
  <c r="AA99" i="92"/>
  <c r="Z99" i="92"/>
  <c r="Y99" i="92"/>
  <c r="X99" i="92"/>
  <c r="W99" i="92"/>
  <c r="V99" i="92"/>
  <c r="U99" i="92"/>
  <c r="T99" i="92"/>
  <c r="AC98" i="92"/>
  <c r="AB98" i="92"/>
  <c r="AA98" i="92"/>
  <c r="Z98" i="92"/>
  <c r="Y98" i="92"/>
  <c r="X98" i="92"/>
  <c r="W98" i="92"/>
  <c r="V98" i="92"/>
  <c r="U98" i="92"/>
  <c r="T98" i="92"/>
  <c r="AC97" i="92"/>
  <c r="AB97" i="92"/>
  <c r="AA97" i="92"/>
  <c r="Z97" i="92"/>
  <c r="Y97" i="92"/>
  <c r="X97" i="92"/>
  <c r="W97" i="92"/>
  <c r="V97" i="92"/>
  <c r="U97" i="92"/>
  <c r="T97" i="92"/>
  <c r="AC96" i="92"/>
  <c r="AB96" i="92"/>
  <c r="AA96" i="92"/>
  <c r="Z96" i="92"/>
  <c r="Y96" i="92"/>
  <c r="X96" i="92"/>
  <c r="W96" i="92"/>
  <c r="V96" i="92"/>
  <c r="U96" i="92"/>
  <c r="T96" i="92"/>
  <c r="AC95" i="92"/>
  <c r="AB95" i="92"/>
  <c r="AA95" i="92"/>
  <c r="Z95" i="92"/>
  <c r="Y95" i="92"/>
  <c r="X95" i="92"/>
  <c r="W95" i="92"/>
  <c r="V95" i="92"/>
  <c r="U95" i="92"/>
  <c r="T95" i="92"/>
  <c r="AC94" i="92"/>
  <c r="AB94" i="92"/>
  <c r="AA94" i="92"/>
  <c r="Z94" i="92"/>
  <c r="Y94" i="92"/>
  <c r="X94" i="92"/>
  <c r="W94" i="92"/>
  <c r="V94" i="92"/>
  <c r="U94" i="92"/>
  <c r="T94" i="92"/>
  <c r="AC93" i="92"/>
  <c r="AB93" i="92"/>
  <c r="AA93" i="92"/>
  <c r="Z93" i="92"/>
  <c r="Y93" i="92"/>
  <c r="X93" i="92"/>
  <c r="W93" i="92"/>
  <c r="V93" i="92"/>
  <c r="U93" i="92"/>
  <c r="T93" i="92"/>
  <c r="AC92" i="92"/>
  <c r="AB92" i="92"/>
  <c r="AA92" i="92"/>
  <c r="Z92" i="92"/>
  <c r="Y92" i="92"/>
  <c r="X92" i="92"/>
  <c r="W92" i="92"/>
  <c r="V92" i="92"/>
  <c r="U92" i="92"/>
  <c r="T92" i="92"/>
  <c r="AC91" i="92"/>
  <c r="AB91" i="92"/>
  <c r="AA91" i="92"/>
  <c r="Z91" i="92"/>
  <c r="Y91" i="92"/>
  <c r="X91" i="92"/>
  <c r="U91" i="92"/>
  <c r="W91" i="92"/>
  <c r="V91" i="92"/>
  <c r="T91" i="92"/>
  <c r="AC90" i="92"/>
  <c r="AB90" i="92"/>
  <c r="AA90" i="92"/>
  <c r="Z90" i="92"/>
  <c r="Y90" i="92"/>
  <c r="X90" i="92"/>
  <c r="W90" i="92"/>
  <c r="V90" i="92"/>
  <c r="U90" i="92"/>
  <c r="T90" i="92"/>
  <c r="AC89" i="92"/>
  <c r="AB89" i="92"/>
  <c r="AA89" i="92"/>
  <c r="Z89" i="92"/>
  <c r="Y89" i="92"/>
  <c r="X89" i="92"/>
  <c r="W89" i="92"/>
  <c r="V89" i="92"/>
  <c r="U89" i="92"/>
  <c r="T89" i="92"/>
  <c r="AC88" i="92"/>
  <c r="AA88" i="92"/>
  <c r="Z88" i="92"/>
  <c r="Y88" i="92"/>
  <c r="X88" i="92"/>
  <c r="W88" i="92"/>
  <c r="V88" i="92"/>
  <c r="U88" i="92"/>
  <c r="T88" i="92"/>
  <c r="AC87" i="92"/>
  <c r="AB87" i="92"/>
  <c r="AA87" i="92"/>
  <c r="Z87" i="92"/>
  <c r="Y87" i="92"/>
  <c r="X87" i="92"/>
  <c r="W87" i="92"/>
  <c r="V87" i="92"/>
  <c r="U87" i="92"/>
  <c r="T87" i="92"/>
  <c r="AC86" i="92"/>
  <c r="AB86" i="92"/>
  <c r="AA86" i="92"/>
  <c r="Z86" i="92"/>
  <c r="Y86" i="92"/>
  <c r="X86" i="92"/>
  <c r="W86" i="92"/>
  <c r="V86" i="92"/>
  <c r="U86" i="92"/>
  <c r="T86" i="92"/>
  <c r="AC85" i="92"/>
  <c r="AB85" i="92"/>
  <c r="AA85" i="92"/>
  <c r="Z85" i="92"/>
  <c r="X85" i="92"/>
  <c r="W85" i="92"/>
  <c r="V85" i="92"/>
  <c r="U85" i="92"/>
  <c r="T85" i="92"/>
  <c r="AC84" i="92"/>
  <c r="AB84" i="92"/>
  <c r="AA84" i="92"/>
  <c r="Z84" i="92"/>
  <c r="Y84" i="92"/>
  <c r="X84" i="92"/>
  <c r="W84" i="92"/>
  <c r="V84" i="92"/>
  <c r="U84" i="92"/>
  <c r="T84" i="92"/>
  <c r="AC83" i="92"/>
  <c r="AB83" i="92"/>
  <c r="AA83" i="92"/>
  <c r="Z83" i="92"/>
  <c r="Y83" i="92"/>
  <c r="X83" i="92"/>
  <c r="W83" i="92"/>
  <c r="V83" i="92"/>
  <c r="U83" i="92"/>
  <c r="T83" i="92"/>
  <c r="AC82" i="92"/>
  <c r="AB82" i="92"/>
  <c r="AA82" i="92"/>
  <c r="Z82" i="92"/>
  <c r="Y82" i="92"/>
  <c r="X82" i="92"/>
  <c r="W82" i="92"/>
  <c r="V82" i="92"/>
  <c r="U82" i="92"/>
  <c r="T82" i="92"/>
  <c r="AC81" i="92"/>
  <c r="AB81" i="92"/>
  <c r="AA81" i="92"/>
  <c r="Z81" i="92"/>
  <c r="Y81" i="92"/>
  <c r="X81" i="92"/>
  <c r="W81" i="92"/>
  <c r="V81" i="92"/>
  <c r="U81" i="92"/>
  <c r="T81" i="92"/>
  <c r="AC80" i="92"/>
  <c r="AB80" i="92"/>
  <c r="AA80" i="92"/>
  <c r="Z80" i="92"/>
  <c r="Y80" i="92"/>
  <c r="X80" i="92"/>
  <c r="W80" i="92"/>
  <c r="V80" i="92"/>
  <c r="U80" i="92"/>
  <c r="T80" i="92"/>
  <c r="AC79" i="92"/>
  <c r="AB79" i="92"/>
  <c r="AA79" i="92"/>
  <c r="Z79" i="92"/>
  <c r="Y79" i="92"/>
  <c r="X79" i="92"/>
  <c r="W79" i="92"/>
  <c r="V79" i="92"/>
  <c r="T79" i="92"/>
  <c r="AC78" i="92"/>
  <c r="AB78" i="92"/>
  <c r="AA78" i="92"/>
  <c r="Z78" i="92"/>
  <c r="Y78" i="92"/>
  <c r="X78" i="92"/>
  <c r="W78" i="92"/>
  <c r="V78" i="92"/>
  <c r="U78" i="92"/>
  <c r="T78" i="92"/>
  <c r="AC77" i="92"/>
  <c r="AB77" i="92"/>
  <c r="AA77" i="92"/>
  <c r="Z77" i="92"/>
  <c r="Y77" i="92"/>
  <c r="X77" i="92"/>
  <c r="W77" i="92"/>
  <c r="V77" i="92"/>
  <c r="U77" i="92"/>
  <c r="T77" i="92"/>
  <c r="V46" i="92"/>
  <c r="U46" i="92"/>
  <c r="AC139" i="92"/>
  <c r="AB139" i="92"/>
  <c r="AA139" i="92"/>
  <c r="Z139" i="92"/>
  <c r="Y139" i="92"/>
  <c r="X139" i="92"/>
  <c r="W139" i="92"/>
  <c r="V139" i="92"/>
  <c r="U139" i="92"/>
  <c r="T139" i="92"/>
  <c r="AC138" i="92"/>
  <c r="AB138" i="92"/>
  <c r="AA138" i="92"/>
  <c r="Z138" i="92"/>
  <c r="Y138" i="92"/>
  <c r="X138" i="92"/>
  <c r="W138" i="92"/>
  <c r="V138" i="92"/>
  <c r="U138" i="92"/>
  <c r="T138" i="92"/>
  <c r="AC137" i="92"/>
  <c r="AB137" i="92"/>
  <c r="AA137" i="92"/>
  <c r="Z137" i="92"/>
  <c r="Y137" i="92"/>
  <c r="X137" i="92"/>
  <c r="W137" i="92"/>
  <c r="V137" i="92"/>
  <c r="U137" i="92"/>
  <c r="T137" i="92"/>
  <c r="AC136" i="92"/>
  <c r="AB136" i="92"/>
  <c r="AA136" i="92"/>
  <c r="Z136" i="92"/>
  <c r="Y136" i="92"/>
  <c r="X136" i="92"/>
  <c r="W136" i="92"/>
  <c r="V136" i="92"/>
  <c r="U136" i="92"/>
  <c r="T136" i="92"/>
  <c r="AC135" i="92"/>
  <c r="AB135" i="92"/>
  <c r="AA135" i="92"/>
  <c r="Z135" i="92"/>
  <c r="Y135" i="92"/>
  <c r="X135" i="92"/>
  <c r="W135" i="92"/>
  <c r="V135" i="92"/>
  <c r="U135" i="92"/>
  <c r="T135" i="92"/>
  <c r="AC134" i="92"/>
  <c r="AB134" i="92"/>
  <c r="AA134" i="92"/>
  <c r="Z134" i="92"/>
  <c r="Y134" i="92"/>
  <c r="X134" i="92"/>
  <c r="W134" i="92"/>
  <c r="V134" i="92"/>
  <c r="U134" i="92"/>
  <c r="T134" i="92"/>
  <c r="AC133" i="92"/>
  <c r="AB133" i="92"/>
  <c r="AA133" i="92"/>
  <c r="Z133" i="92"/>
  <c r="Y133" i="92"/>
  <c r="X133" i="92"/>
  <c r="W133" i="92"/>
  <c r="V133" i="92"/>
  <c r="U133" i="92"/>
  <c r="T133" i="92"/>
  <c r="AC132" i="92"/>
  <c r="AB132" i="92"/>
  <c r="AA132" i="92"/>
  <c r="Z132" i="92"/>
  <c r="Y132" i="92"/>
  <c r="X132" i="92"/>
  <c r="W132" i="92"/>
  <c r="V132" i="92"/>
  <c r="U132" i="92"/>
  <c r="T132" i="92"/>
  <c r="AC131" i="92"/>
  <c r="AB131" i="92"/>
  <c r="AA131" i="92"/>
  <c r="Z131" i="92"/>
  <c r="Y131" i="92"/>
  <c r="X131" i="92"/>
  <c r="W131" i="92"/>
  <c r="V131" i="92"/>
  <c r="U131" i="92"/>
  <c r="T131" i="92"/>
  <c r="AC130" i="92"/>
  <c r="AB130" i="92"/>
  <c r="AA130" i="92"/>
  <c r="Z130" i="92"/>
  <c r="Y130" i="92"/>
  <c r="X130" i="92"/>
  <c r="W130" i="92"/>
  <c r="V130" i="92"/>
  <c r="U130" i="92"/>
  <c r="T130" i="92"/>
  <c r="AC129" i="92"/>
  <c r="AB129" i="92"/>
  <c r="AA129" i="92"/>
  <c r="Z129" i="92"/>
  <c r="Y129" i="92"/>
  <c r="X129" i="92"/>
  <c r="W129" i="92"/>
  <c r="V129" i="92"/>
  <c r="U129" i="92"/>
  <c r="T129" i="92"/>
  <c r="AC128" i="92"/>
  <c r="AB128" i="92"/>
  <c r="AA128" i="92"/>
  <c r="Z128" i="92"/>
  <c r="Y128" i="92"/>
  <c r="X128" i="92"/>
  <c r="W128" i="92"/>
  <c r="V128" i="92"/>
  <c r="U128" i="92"/>
  <c r="T128" i="92"/>
  <c r="AC127" i="92"/>
  <c r="AB127" i="92"/>
  <c r="AA127" i="92"/>
  <c r="Z127" i="92"/>
  <c r="Y127" i="92"/>
  <c r="X127" i="92"/>
  <c r="W127" i="92"/>
  <c r="V127" i="92"/>
  <c r="U127" i="92"/>
  <c r="T127" i="92"/>
  <c r="AC126" i="92"/>
  <c r="AB126" i="92"/>
  <c r="AA126" i="92"/>
  <c r="Z126" i="92"/>
  <c r="Y126" i="92"/>
  <c r="X126" i="92"/>
  <c r="W126" i="92"/>
  <c r="V126" i="92"/>
  <c r="U126" i="92"/>
  <c r="T126" i="92"/>
  <c r="AC125" i="92"/>
  <c r="AB125" i="92"/>
  <c r="AA125" i="92"/>
  <c r="Z125" i="92"/>
  <c r="Y125" i="92"/>
  <c r="X125" i="92"/>
  <c r="W125" i="92"/>
  <c r="V125" i="92"/>
  <c r="U125" i="92"/>
  <c r="T125" i="92"/>
  <c r="AC124" i="92"/>
  <c r="AB124" i="92"/>
  <c r="AA124" i="92"/>
  <c r="Z124" i="92"/>
  <c r="Y124" i="92"/>
  <c r="X124" i="92"/>
  <c r="W124" i="92"/>
  <c r="V124" i="92"/>
  <c r="U124" i="92"/>
  <c r="T124" i="92"/>
  <c r="AC123" i="92"/>
  <c r="AB123" i="92"/>
  <c r="AA123" i="92"/>
  <c r="Z123" i="92"/>
  <c r="Y123" i="92"/>
  <c r="X123" i="92"/>
  <c r="W123" i="92"/>
  <c r="V123" i="92"/>
  <c r="U123" i="92"/>
  <c r="T123" i="92"/>
  <c r="AC122" i="92"/>
  <c r="AB122" i="92"/>
  <c r="AA122" i="92"/>
  <c r="Z122" i="92"/>
  <c r="Y122" i="92"/>
  <c r="X122" i="92"/>
  <c r="W122" i="92"/>
  <c r="V122" i="92"/>
  <c r="U122" i="92"/>
  <c r="T122" i="92"/>
  <c r="AC121" i="92"/>
  <c r="AB121" i="92"/>
  <c r="AA121" i="92"/>
  <c r="Z121" i="92"/>
  <c r="Y121" i="92"/>
  <c r="X121" i="92"/>
  <c r="W121" i="92"/>
  <c r="V121" i="92"/>
  <c r="U121" i="92"/>
  <c r="T121" i="92"/>
  <c r="AC120" i="92"/>
  <c r="AB120" i="92"/>
  <c r="AA120" i="92"/>
  <c r="Z120" i="92"/>
  <c r="Y120" i="92"/>
  <c r="X120" i="92"/>
  <c r="W120" i="92"/>
  <c r="V120" i="92"/>
  <c r="U120" i="92"/>
  <c r="T120" i="92"/>
  <c r="AC119" i="92"/>
  <c r="AB119" i="92"/>
  <c r="AA119" i="92"/>
  <c r="Z119" i="92"/>
  <c r="Y119" i="92"/>
  <c r="X119" i="92"/>
  <c r="W119" i="92"/>
  <c r="V119" i="92"/>
  <c r="U119" i="92"/>
  <c r="T119" i="92"/>
  <c r="AC118" i="92"/>
  <c r="AB118" i="92"/>
  <c r="AA118" i="92"/>
  <c r="Z118" i="92"/>
  <c r="Y118" i="92"/>
  <c r="X118" i="92"/>
  <c r="W118" i="92"/>
  <c r="V118" i="92"/>
  <c r="U118" i="92"/>
  <c r="T118" i="92"/>
  <c r="AC117" i="92"/>
  <c r="AB117" i="92"/>
  <c r="AA117" i="92"/>
  <c r="Z117" i="92"/>
  <c r="Y117" i="92"/>
  <c r="X117" i="92"/>
  <c r="W117" i="92"/>
  <c r="V117" i="92"/>
  <c r="U117" i="92"/>
  <c r="T117" i="92"/>
  <c r="AC116" i="92"/>
  <c r="AB116" i="92"/>
  <c r="AA116" i="92"/>
  <c r="Z116" i="92"/>
  <c r="Y116" i="92"/>
  <c r="X116" i="92"/>
  <c r="W116" i="92"/>
  <c r="V116" i="92"/>
  <c r="U116" i="92"/>
  <c r="T116" i="92"/>
  <c r="AC115" i="92"/>
  <c r="AB115" i="92"/>
  <c r="AA115" i="92"/>
  <c r="Z115" i="92"/>
  <c r="Y115" i="92"/>
  <c r="X115" i="92"/>
  <c r="W115" i="92"/>
  <c r="V115" i="92"/>
  <c r="U115" i="92"/>
  <c r="T115" i="92"/>
  <c r="V114" i="92"/>
  <c r="AC114" i="92"/>
  <c r="AB114" i="92"/>
  <c r="AA114" i="92"/>
  <c r="Y114" i="92"/>
  <c r="X114" i="92"/>
  <c r="W114" i="92"/>
  <c r="T114" i="92"/>
  <c r="U114" i="92"/>
  <c r="Z114" i="92"/>
  <c r="AI18" i="122"/>
  <c r="AE10" i="77"/>
  <c r="AE9" i="77"/>
  <c r="AE8" i="77"/>
  <c r="AE7" i="77"/>
  <c r="AE6" i="77"/>
  <c r="AD10" i="77"/>
  <c r="AD9" i="77"/>
  <c r="AD8" i="77"/>
  <c r="AD7" i="77"/>
  <c r="AD6" i="77"/>
  <c r="W3" i="121"/>
  <c r="U3" i="121"/>
  <c r="W3" i="120"/>
  <c r="U3" i="120"/>
  <c r="W3" i="119"/>
  <c r="U3" i="119"/>
  <c r="W3" i="118"/>
  <c r="U3" i="118"/>
  <c r="W3" i="117"/>
  <c r="U3" i="117"/>
  <c r="W3" i="116"/>
  <c r="U3" i="116"/>
  <c r="W3" i="115"/>
  <c r="U3" i="115"/>
  <c r="W3" i="92"/>
  <c r="U3" i="92"/>
  <c r="AD157" i="92" a="1"/>
  <c r="AD157" i="92"/>
  <c r="AE157" i="92" a="1"/>
  <c r="AE157" i="92"/>
  <c r="AF157" i="92" a="1"/>
  <c r="AF157" i="92"/>
  <c r="AG157" i="92" a="1"/>
  <c r="AG157" i="92"/>
  <c r="AH157" i="92" a="1"/>
  <c r="AH157" i="92"/>
  <c r="AI157" i="92" a="1"/>
  <c r="AI157" i="92"/>
  <c r="AJ157" i="92" a="1"/>
  <c r="AJ157" i="92"/>
  <c r="AK157" i="92" a="1"/>
  <c r="AK157" i="92"/>
  <c r="AL157" i="92" a="1"/>
  <c r="AL157" i="92"/>
  <c r="AM157" i="92" a="1"/>
  <c r="AM157" i="92"/>
  <c r="AN157" i="92" a="1"/>
  <c r="AN157" i="92"/>
  <c r="H174" i="92"/>
  <c r="H173" i="92"/>
  <c r="I20" i="105"/>
  <c r="I19" i="105"/>
  <c r="I18" i="105"/>
  <c r="I17" i="105"/>
  <c r="I16" i="105"/>
  <c r="I15" i="105"/>
  <c r="I14" i="105"/>
  <c r="I13" i="105"/>
  <c r="I12" i="105"/>
  <c r="I11" i="105"/>
  <c r="I10" i="105"/>
  <c r="I9" i="105"/>
  <c r="I8" i="105"/>
  <c r="I7" i="105"/>
  <c r="I21" i="105"/>
  <c r="AJ16" i="78"/>
  <c r="AI16" i="78"/>
  <c r="AH16" i="78"/>
  <c r="AG16" i="78"/>
  <c r="AF16" i="78"/>
  <c r="C33" i="122"/>
  <c r="A33" i="122"/>
  <c r="K32" i="122"/>
  <c r="C32" i="122"/>
  <c r="A32" i="122"/>
  <c r="K31" i="122"/>
  <c r="C31" i="122"/>
  <c r="A31" i="122"/>
  <c r="K30" i="122"/>
  <c r="C30" i="122"/>
  <c r="A30" i="122"/>
  <c r="C29" i="122"/>
  <c r="A29" i="122"/>
  <c r="AJ22" i="122"/>
  <c r="AI22" i="122"/>
  <c r="AG22" i="122"/>
  <c r="AD22" i="122"/>
  <c r="C22" i="122"/>
  <c r="A22" i="122"/>
  <c r="AJ21" i="122"/>
  <c r="AI21" i="122"/>
  <c r="AG21" i="122"/>
  <c r="AD21" i="122"/>
  <c r="C21" i="122"/>
  <c r="A21" i="122"/>
  <c r="AJ20" i="122"/>
  <c r="AI20" i="122"/>
  <c r="AH20" i="122"/>
  <c r="AG20" i="122"/>
  <c r="AD20" i="122"/>
  <c r="C20" i="122"/>
  <c r="A20" i="122"/>
  <c r="AJ19" i="122"/>
  <c r="AI19" i="122"/>
  <c r="AH19" i="122"/>
  <c r="C19" i="122"/>
  <c r="A19" i="122"/>
  <c r="AJ18" i="122"/>
  <c r="AH18" i="122"/>
  <c r="AD18" i="122"/>
  <c r="AG18" i="122"/>
  <c r="AF18" i="122"/>
  <c r="AA18" i="122"/>
  <c r="K29" i="122"/>
  <c r="C18" i="122"/>
  <c r="A18" i="122"/>
  <c r="G11" i="122"/>
  <c r="AK16" i="78"/>
  <c r="AC93" i="121"/>
  <c r="AB93" i="121"/>
  <c r="AA93" i="121"/>
  <c r="Z93" i="121"/>
  <c r="Y93" i="121"/>
  <c r="X93" i="121"/>
  <c r="W93" i="121"/>
  <c r="V93" i="121"/>
  <c r="U93" i="121"/>
  <c r="T93" i="121"/>
  <c r="AC92" i="121"/>
  <c r="AB92" i="121"/>
  <c r="AA92" i="121"/>
  <c r="Z92" i="121"/>
  <c r="Y92" i="121"/>
  <c r="X92" i="121"/>
  <c r="W92" i="121"/>
  <c r="V92" i="121"/>
  <c r="U92" i="121"/>
  <c r="T92" i="121"/>
  <c r="AC93" i="120"/>
  <c r="AB93" i="120"/>
  <c r="AA93" i="120"/>
  <c r="Z93" i="120"/>
  <c r="Y93" i="120"/>
  <c r="X93" i="120"/>
  <c r="W93" i="120"/>
  <c r="V93" i="120"/>
  <c r="U93" i="120"/>
  <c r="T93" i="120"/>
  <c r="AC92" i="120"/>
  <c r="AB92" i="120"/>
  <c r="AA92" i="120"/>
  <c r="Z92" i="120"/>
  <c r="Y92" i="120"/>
  <c r="X92" i="120"/>
  <c r="W92" i="120"/>
  <c r="V92" i="120"/>
  <c r="U92" i="120"/>
  <c r="T92" i="120"/>
  <c r="AC93" i="119"/>
  <c r="AB93" i="119"/>
  <c r="AA93" i="119"/>
  <c r="Z93" i="119"/>
  <c r="Y93" i="119"/>
  <c r="X93" i="119"/>
  <c r="W93" i="119"/>
  <c r="V93" i="119"/>
  <c r="U93" i="119"/>
  <c r="T93" i="119"/>
  <c r="AC92" i="119"/>
  <c r="AB92" i="119"/>
  <c r="AA92" i="119"/>
  <c r="Z92" i="119"/>
  <c r="Y92" i="119"/>
  <c r="X92" i="119"/>
  <c r="W92" i="119"/>
  <c r="V92" i="119"/>
  <c r="U92" i="119"/>
  <c r="T92" i="119"/>
  <c r="AC93" i="118"/>
  <c r="AB93" i="118"/>
  <c r="AA93" i="118"/>
  <c r="Z93" i="118"/>
  <c r="Y93" i="118"/>
  <c r="X93" i="118"/>
  <c r="W93" i="118"/>
  <c r="V93" i="118"/>
  <c r="U93" i="118"/>
  <c r="T93" i="118"/>
  <c r="AC92" i="118"/>
  <c r="AB92" i="118"/>
  <c r="AA92" i="118"/>
  <c r="Z92" i="118"/>
  <c r="Y92" i="118"/>
  <c r="X92" i="118"/>
  <c r="W92" i="118"/>
  <c r="V92" i="118"/>
  <c r="U92" i="118"/>
  <c r="T92" i="118"/>
  <c r="AC93" i="117"/>
  <c r="AB93" i="117"/>
  <c r="AA93" i="117"/>
  <c r="Z93" i="117"/>
  <c r="Y93" i="117"/>
  <c r="X93" i="117"/>
  <c r="W93" i="117"/>
  <c r="V93" i="117"/>
  <c r="U93" i="117"/>
  <c r="T93" i="117"/>
  <c r="AC92" i="117"/>
  <c r="AB92" i="117"/>
  <c r="AA92" i="117"/>
  <c r="Z92" i="117"/>
  <c r="Y92" i="117"/>
  <c r="X92" i="117"/>
  <c r="W92" i="117"/>
  <c r="V92" i="117"/>
  <c r="U92" i="117"/>
  <c r="T92" i="117"/>
  <c r="AC93" i="116"/>
  <c r="AB93" i="116"/>
  <c r="AA93" i="116"/>
  <c r="Z93" i="116"/>
  <c r="Y93" i="116"/>
  <c r="X93" i="116"/>
  <c r="W93" i="116"/>
  <c r="V93" i="116"/>
  <c r="U93" i="116"/>
  <c r="T93" i="116"/>
  <c r="AC92" i="116"/>
  <c r="AB92" i="116"/>
  <c r="AA92" i="116"/>
  <c r="Z92" i="116"/>
  <c r="Y92" i="116"/>
  <c r="X92" i="116"/>
  <c r="W92" i="116"/>
  <c r="V92" i="116"/>
  <c r="U92" i="116"/>
  <c r="T92" i="116"/>
  <c r="AE31" i="121"/>
  <c r="AD31" i="121"/>
  <c r="AE30" i="121"/>
  <c r="AD30" i="121"/>
  <c r="AE29" i="121"/>
  <c r="AD29" i="121"/>
  <c r="AE31" i="120"/>
  <c r="AD31" i="120"/>
  <c r="AE30" i="120"/>
  <c r="AD30" i="120"/>
  <c r="AE29" i="120"/>
  <c r="AD29" i="120"/>
  <c r="AE31" i="119"/>
  <c r="AD31" i="119"/>
  <c r="AE30" i="119"/>
  <c r="AD30" i="119"/>
  <c r="AE29" i="119"/>
  <c r="AD29" i="119"/>
  <c r="AE31" i="118"/>
  <c r="AD31" i="118"/>
  <c r="AE30" i="118"/>
  <c r="AD30" i="118"/>
  <c r="AE29" i="118"/>
  <c r="AD29" i="118"/>
  <c r="AE31" i="117"/>
  <c r="AD31" i="117"/>
  <c r="AE30" i="117"/>
  <c r="AD30" i="117"/>
  <c r="AE29" i="117"/>
  <c r="AD29" i="117"/>
  <c r="AE31" i="116"/>
  <c r="AD31" i="116"/>
  <c r="AE30" i="116"/>
  <c r="AD30" i="116"/>
  <c r="AE29" i="116"/>
  <c r="AD29" i="116"/>
  <c r="AE31" i="115"/>
  <c r="AD31" i="115"/>
  <c r="AE30" i="115"/>
  <c r="AD30" i="115"/>
  <c r="AE29" i="115"/>
  <c r="AD29" i="115"/>
  <c r="O31" i="121"/>
  <c r="O30" i="121"/>
  <c r="O29" i="121"/>
  <c r="O31" i="120"/>
  <c r="O30" i="120"/>
  <c r="O29" i="120"/>
  <c r="O31" i="119"/>
  <c r="O30" i="119"/>
  <c r="O29" i="119"/>
  <c r="O31" i="118"/>
  <c r="O30" i="118"/>
  <c r="O29" i="118"/>
  <c r="O31" i="117"/>
  <c r="O30" i="117"/>
  <c r="O29" i="117"/>
  <c r="O31" i="116"/>
  <c r="O30" i="116"/>
  <c r="O29" i="116"/>
  <c r="O31" i="115"/>
  <c r="O30" i="115"/>
  <c r="O29" i="115"/>
  <c r="AE31" i="92"/>
  <c r="AD31" i="92"/>
  <c r="AE30" i="92"/>
  <c r="AD30" i="92"/>
  <c r="AE29" i="92"/>
  <c r="AD29" i="92"/>
  <c r="O31" i="92"/>
  <c r="O30" i="92"/>
  <c r="U30" i="92"/>
  <c r="O29" i="92"/>
  <c r="AJ8" i="119"/>
  <c r="AG8" i="119"/>
  <c r="AK8" i="119"/>
  <c r="AH8" i="119"/>
  <c r="AJ9" i="119"/>
  <c r="AG9" i="119"/>
  <c r="AK9" i="119"/>
  <c r="AH9" i="119"/>
  <c r="AJ10" i="119"/>
  <c r="AG10" i="119"/>
  <c r="AK10" i="119"/>
  <c r="AH10" i="119"/>
  <c r="AJ11" i="119"/>
  <c r="AG11" i="119"/>
  <c r="AK11" i="119"/>
  <c r="AH11" i="119"/>
  <c r="AJ12" i="119"/>
  <c r="AG12" i="119"/>
  <c r="AK12" i="119"/>
  <c r="AH12" i="119"/>
  <c r="AJ13" i="119"/>
  <c r="AG13" i="119"/>
  <c r="AK13" i="119"/>
  <c r="AH13" i="119"/>
  <c r="AJ14" i="119"/>
  <c r="AG14" i="119"/>
  <c r="AK14" i="119"/>
  <c r="AH14" i="119"/>
  <c r="AJ15" i="119"/>
  <c r="AG15" i="119"/>
  <c r="AK15" i="119"/>
  <c r="AH15" i="119"/>
  <c r="AJ16" i="119"/>
  <c r="AG16" i="119"/>
  <c r="AK16" i="119"/>
  <c r="AH16" i="119"/>
  <c r="AK7" i="119"/>
  <c r="AH7" i="119"/>
  <c r="AJ7" i="119"/>
  <c r="AG7" i="119"/>
  <c r="AJ16" i="118"/>
  <c r="AG16" i="118"/>
  <c r="AK16" i="118"/>
  <c r="AH16" i="118"/>
  <c r="AJ8" i="118"/>
  <c r="AG8" i="118"/>
  <c r="AK8" i="118"/>
  <c r="AH8" i="118"/>
  <c r="AJ9" i="118"/>
  <c r="AG9" i="118"/>
  <c r="AK9" i="118"/>
  <c r="AH9" i="118"/>
  <c r="AJ10" i="118"/>
  <c r="AG10" i="118"/>
  <c r="AK10" i="118"/>
  <c r="AH10" i="118"/>
  <c r="AJ11" i="118"/>
  <c r="AG11" i="118"/>
  <c r="AK11" i="118"/>
  <c r="AH11" i="118"/>
  <c r="AJ12" i="118"/>
  <c r="AG12" i="118"/>
  <c r="AK12" i="118"/>
  <c r="AH12" i="118"/>
  <c r="AJ13" i="118"/>
  <c r="AG13" i="118"/>
  <c r="AK13" i="118"/>
  <c r="AH13" i="118"/>
  <c r="AJ14" i="118"/>
  <c r="AG14" i="118"/>
  <c r="AK14" i="118"/>
  <c r="AH14" i="118"/>
  <c r="AJ15" i="118"/>
  <c r="AG15" i="118"/>
  <c r="AK15" i="118"/>
  <c r="AH15" i="118"/>
  <c r="AK7" i="118"/>
  <c r="AH7" i="118"/>
  <c r="AJ7" i="118"/>
  <c r="AG7" i="118"/>
  <c r="AJ8" i="117"/>
  <c r="AG8" i="117"/>
  <c r="AK8" i="117"/>
  <c r="AH8" i="117"/>
  <c r="AJ9" i="117"/>
  <c r="AG9" i="117"/>
  <c r="AK9" i="117"/>
  <c r="AH9" i="117"/>
  <c r="AJ10" i="117"/>
  <c r="AG10" i="117"/>
  <c r="AK10" i="117"/>
  <c r="AH10" i="117"/>
  <c r="AJ11" i="117"/>
  <c r="AG11" i="117"/>
  <c r="AK11" i="117"/>
  <c r="AH11" i="117"/>
  <c r="AJ12" i="117"/>
  <c r="AG12" i="117"/>
  <c r="AK12" i="117"/>
  <c r="AH12" i="117"/>
  <c r="AJ13" i="117"/>
  <c r="AG13" i="117"/>
  <c r="AK13" i="117"/>
  <c r="AH13" i="117"/>
  <c r="AJ14" i="117"/>
  <c r="AG14" i="117"/>
  <c r="AK14" i="117"/>
  <c r="AH14" i="117"/>
  <c r="AJ15" i="117"/>
  <c r="AG15" i="117"/>
  <c r="AK15" i="117"/>
  <c r="AH15" i="117"/>
  <c r="AJ16" i="117"/>
  <c r="AG16" i="117"/>
  <c r="AK16" i="117"/>
  <c r="AH16" i="117"/>
  <c r="AK7" i="117"/>
  <c r="AH7" i="117"/>
  <c r="AJ7" i="117"/>
  <c r="AG7" i="117"/>
  <c r="H174" i="121"/>
  <c r="W23" i="121"/>
  <c r="H173" i="121"/>
  <c r="W22" i="121"/>
  <c r="AC139" i="121"/>
  <c r="AB139" i="121"/>
  <c r="AA139" i="121"/>
  <c r="Z139" i="121"/>
  <c r="Y139" i="121"/>
  <c r="X139" i="121"/>
  <c r="W139" i="121"/>
  <c r="V139" i="121"/>
  <c r="U139" i="121"/>
  <c r="T139" i="121"/>
  <c r="AC138" i="121"/>
  <c r="AB138" i="121"/>
  <c r="AA138" i="121"/>
  <c r="Z138" i="121"/>
  <c r="Y138" i="121"/>
  <c r="X138" i="121"/>
  <c r="W138" i="121"/>
  <c r="V138" i="121"/>
  <c r="U138" i="121"/>
  <c r="T138" i="121"/>
  <c r="AC137" i="121"/>
  <c r="AB137" i="121"/>
  <c r="AA137" i="121"/>
  <c r="Z137" i="121"/>
  <c r="Y137" i="121"/>
  <c r="X137" i="121"/>
  <c r="W137" i="121"/>
  <c r="V137" i="121"/>
  <c r="U137" i="121"/>
  <c r="T137" i="121"/>
  <c r="AC136" i="121"/>
  <c r="AB136" i="121"/>
  <c r="AA136" i="121"/>
  <c r="Z136" i="121"/>
  <c r="Y136" i="121"/>
  <c r="X136" i="121"/>
  <c r="W136" i="121"/>
  <c r="V136" i="121"/>
  <c r="U136" i="121"/>
  <c r="T136" i="121"/>
  <c r="AC135" i="121"/>
  <c r="AB135" i="121"/>
  <c r="AA135" i="121"/>
  <c r="Z135" i="121"/>
  <c r="Y135" i="121"/>
  <c r="X135" i="121"/>
  <c r="W135" i="121"/>
  <c r="V135" i="121"/>
  <c r="U135" i="121"/>
  <c r="T135" i="121"/>
  <c r="AC134" i="121"/>
  <c r="AB134" i="121"/>
  <c r="AA134" i="121"/>
  <c r="Z134" i="121"/>
  <c r="Y134" i="121"/>
  <c r="X134" i="121"/>
  <c r="W134" i="121"/>
  <c r="V134" i="121"/>
  <c r="U134" i="121"/>
  <c r="T134" i="121"/>
  <c r="AC133" i="121"/>
  <c r="AB133" i="121"/>
  <c r="AA133" i="121"/>
  <c r="Z133" i="121"/>
  <c r="Y133" i="121"/>
  <c r="X133" i="121"/>
  <c r="W133" i="121"/>
  <c r="V133" i="121"/>
  <c r="U133" i="121"/>
  <c r="T133" i="121"/>
  <c r="AC132" i="121"/>
  <c r="AB132" i="121"/>
  <c r="AA132" i="121"/>
  <c r="Z132" i="121"/>
  <c r="Y132" i="121"/>
  <c r="X132" i="121"/>
  <c r="W132" i="121"/>
  <c r="V132" i="121"/>
  <c r="U132" i="121"/>
  <c r="T132" i="121"/>
  <c r="AC131" i="121"/>
  <c r="AB131" i="121"/>
  <c r="AA131" i="121"/>
  <c r="Z131" i="121"/>
  <c r="Y131" i="121"/>
  <c r="X131" i="121"/>
  <c r="W131" i="121"/>
  <c r="V131" i="121"/>
  <c r="U131" i="121"/>
  <c r="T131" i="121"/>
  <c r="AC130" i="121"/>
  <c r="AB130" i="121"/>
  <c r="AA130" i="121"/>
  <c r="Z130" i="121"/>
  <c r="Y130" i="121"/>
  <c r="X130" i="121"/>
  <c r="W130" i="121"/>
  <c r="V130" i="121"/>
  <c r="U130" i="121"/>
  <c r="T130" i="121"/>
  <c r="AC129" i="121"/>
  <c r="AB129" i="121"/>
  <c r="AA129" i="121"/>
  <c r="Z129" i="121"/>
  <c r="Y129" i="121"/>
  <c r="X129" i="121"/>
  <c r="W129" i="121"/>
  <c r="V129" i="121"/>
  <c r="U129" i="121"/>
  <c r="T129" i="121"/>
  <c r="AC128" i="121"/>
  <c r="AB128" i="121"/>
  <c r="AA128" i="121"/>
  <c r="Z128" i="121"/>
  <c r="Y128" i="121"/>
  <c r="X128" i="121"/>
  <c r="W128" i="121"/>
  <c r="V128" i="121"/>
  <c r="U128" i="121"/>
  <c r="T128" i="121"/>
  <c r="AC127" i="121"/>
  <c r="AB127" i="121"/>
  <c r="AA127" i="121"/>
  <c r="Z127" i="121"/>
  <c r="Y127" i="121"/>
  <c r="X127" i="121"/>
  <c r="W127" i="121"/>
  <c r="V127" i="121"/>
  <c r="U127" i="121"/>
  <c r="T127" i="121"/>
  <c r="AC126" i="121"/>
  <c r="AB126" i="121"/>
  <c r="AA126" i="121"/>
  <c r="Z126" i="121"/>
  <c r="Y126" i="121"/>
  <c r="X126" i="121"/>
  <c r="W126" i="121"/>
  <c r="V126" i="121"/>
  <c r="U126" i="121"/>
  <c r="T126" i="121"/>
  <c r="AC125" i="121"/>
  <c r="AB125" i="121"/>
  <c r="AA125" i="121"/>
  <c r="Z125" i="121"/>
  <c r="Y125" i="121"/>
  <c r="X125" i="121"/>
  <c r="W125" i="121"/>
  <c r="V125" i="121"/>
  <c r="U125" i="121"/>
  <c r="T125" i="121"/>
  <c r="AC124" i="121"/>
  <c r="AB124" i="121"/>
  <c r="AA124" i="121"/>
  <c r="Z124" i="121"/>
  <c r="Y124" i="121"/>
  <c r="X124" i="121"/>
  <c r="W124" i="121"/>
  <c r="V124" i="121"/>
  <c r="U124" i="121"/>
  <c r="T124" i="121"/>
  <c r="AC123" i="121"/>
  <c r="AB123" i="121"/>
  <c r="AA123" i="121"/>
  <c r="Z123" i="121"/>
  <c r="Y123" i="121"/>
  <c r="X123" i="121"/>
  <c r="W123" i="121"/>
  <c r="V123" i="121"/>
  <c r="U123" i="121"/>
  <c r="T123" i="121"/>
  <c r="AC122" i="121"/>
  <c r="AB122" i="121"/>
  <c r="AA122" i="121"/>
  <c r="Z122" i="121"/>
  <c r="Y122" i="121"/>
  <c r="X122" i="121"/>
  <c r="W122" i="121"/>
  <c r="V122" i="121"/>
  <c r="U122" i="121"/>
  <c r="T122" i="121"/>
  <c r="AC121" i="121"/>
  <c r="AB121" i="121"/>
  <c r="AA121" i="121"/>
  <c r="Z121" i="121"/>
  <c r="Y121" i="121"/>
  <c r="X121" i="121"/>
  <c r="W121" i="121"/>
  <c r="V121" i="121"/>
  <c r="U121" i="121"/>
  <c r="T121" i="121"/>
  <c r="AC120" i="121"/>
  <c r="AB120" i="121"/>
  <c r="AA120" i="121"/>
  <c r="Z120" i="121"/>
  <c r="Y120" i="121"/>
  <c r="X120" i="121"/>
  <c r="W120" i="121"/>
  <c r="V120" i="121"/>
  <c r="U120" i="121"/>
  <c r="T120" i="121"/>
  <c r="AC119" i="121"/>
  <c r="AB119" i="121"/>
  <c r="AA119" i="121"/>
  <c r="Z119" i="121"/>
  <c r="Y119" i="121"/>
  <c r="X119" i="121"/>
  <c r="W119" i="121"/>
  <c r="V119" i="121"/>
  <c r="U119" i="121"/>
  <c r="T119" i="121"/>
  <c r="AC118" i="121"/>
  <c r="AB118" i="121"/>
  <c r="AA118" i="121"/>
  <c r="Z118" i="121"/>
  <c r="Y118" i="121"/>
  <c r="X118" i="121"/>
  <c r="W118" i="121"/>
  <c r="V118" i="121"/>
  <c r="U118" i="121"/>
  <c r="T118" i="121"/>
  <c r="AC117" i="121"/>
  <c r="AB117" i="121"/>
  <c r="AA117" i="121"/>
  <c r="Z117" i="121"/>
  <c r="Y117" i="121"/>
  <c r="X117" i="121"/>
  <c r="W117" i="121"/>
  <c r="V117" i="121"/>
  <c r="U117" i="121"/>
  <c r="T117" i="121"/>
  <c r="AC116" i="121"/>
  <c r="AB116" i="121"/>
  <c r="AA116" i="121"/>
  <c r="Z116" i="121"/>
  <c r="Y116" i="121"/>
  <c r="X116" i="121"/>
  <c r="W116" i="121"/>
  <c r="V116" i="121"/>
  <c r="U116" i="121"/>
  <c r="T116" i="121"/>
  <c r="AC115" i="121"/>
  <c r="AB115" i="121"/>
  <c r="AA115" i="121"/>
  <c r="Z115" i="121"/>
  <c r="Y115" i="121"/>
  <c r="X115" i="121"/>
  <c r="W115" i="121"/>
  <c r="V115" i="121"/>
  <c r="U115" i="121"/>
  <c r="T115" i="121"/>
  <c r="AC114" i="121"/>
  <c r="AB114" i="121"/>
  <c r="AA114" i="121"/>
  <c r="Z114" i="121"/>
  <c r="Y114" i="121"/>
  <c r="X114" i="121"/>
  <c r="W114" i="121"/>
  <c r="V114" i="121"/>
  <c r="U114" i="121"/>
  <c r="T114" i="121"/>
  <c r="AC113" i="121"/>
  <c r="AB113" i="121"/>
  <c r="AA113" i="121"/>
  <c r="Z113" i="121"/>
  <c r="Y113" i="121"/>
  <c r="X113" i="121"/>
  <c r="W113" i="121"/>
  <c r="V113" i="121"/>
  <c r="U113" i="121"/>
  <c r="T113" i="121"/>
  <c r="AC112" i="121"/>
  <c r="AB112" i="121"/>
  <c r="AA112" i="121"/>
  <c r="Z112" i="121"/>
  <c r="Y112" i="121"/>
  <c r="X112" i="121"/>
  <c r="W112" i="121"/>
  <c r="V112" i="121"/>
  <c r="U112" i="121"/>
  <c r="T112" i="121"/>
  <c r="AC111" i="121"/>
  <c r="AB111" i="121"/>
  <c r="AA111" i="121"/>
  <c r="Z111" i="121"/>
  <c r="Y111" i="121"/>
  <c r="X111" i="121"/>
  <c r="W111" i="121"/>
  <c r="V111" i="121"/>
  <c r="U111" i="121"/>
  <c r="T111" i="121"/>
  <c r="AC110" i="121"/>
  <c r="AB110" i="121"/>
  <c r="AA110" i="121"/>
  <c r="Z110" i="121"/>
  <c r="Y110" i="121"/>
  <c r="X110" i="121"/>
  <c r="W110" i="121"/>
  <c r="V110" i="121"/>
  <c r="U110" i="121"/>
  <c r="T110" i="121"/>
  <c r="AC109" i="121"/>
  <c r="AB109" i="121"/>
  <c r="AA109" i="121"/>
  <c r="Z109" i="121"/>
  <c r="Y109" i="121"/>
  <c r="X109" i="121"/>
  <c r="W109" i="121"/>
  <c r="V109" i="121"/>
  <c r="U109" i="121"/>
  <c r="T109" i="121"/>
  <c r="AC108" i="121"/>
  <c r="AB108" i="121"/>
  <c r="AA108" i="121"/>
  <c r="Z108" i="121"/>
  <c r="Y108" i="121"/>
  <c r="X108" i="121"/>
  <c r="W108" i="121"/>
  <c r="V108" i="121"/>
  <c r="U108" i="121"/>
  <c r="T108" i="121"/>
  <c r="AC107" i="121"/>
  <c r="AB107" i="121"/>
  <c r="AA107" i="121"/>
  <c r="Z107" i="121"/>
  <c r="Y107" i="121"/>
  <c r="X107" i="121"/>
  <c r="W107" i="121"/>
  <c r="V107" i="121"/>
  <c r="U107" i="121"/>
  <c r="T107" i="121"/>
  <c r="AC106" i="121"/>
  <c r="AB106" i="121"/>
  <c r="AA106" i="121"/>
  <c r="Z106" i="121"/>
  <c r="Y106" i="121"/>
  <c r="X106" i="121"/>
  <c r="W106" i="121"/>
  <c r="V106" i="121"/>
  <c r="U106" i="121"/>
  <c r="T106" i="121"/>
  <c r="AC105" i="121"/>
  <c r="AB105" i="121"/>
  <c r="AA105" i="121"/>
  <c r="Z105" i="121"/>
  <c r="Y105" i="121"/>
  <c r="X105" i="121"/>
  <c r="W105" i="121"/>
  <c r="V105" i="121"/>
  <c r="U105" i="121"/>
  <c r="T105" i="121"/>
  <c r="AC104" i="121"/>
  <c r="AB104" i="121"/>
  <c r="AA104" i="121"/>
  <c r="Z104" i="121"/>
  <c r="Y104" i="121"/>
  <c r="X104" i="121"/>
  <c r="W104" i="121"/>
  <c r="V104" i="121"/>
  <c r="U104" i="121"/>
  <c r="T104" i="121"/>
  <c r="AC103" i="121"/>
  <c r="AB103" i="121"/>
  <c r="AA103" i="121"/>
  <c r="Z103" i="121"/>
  <c r="Y103" i="121"/>
  <c r="X103" i="121"/>
  <c r="W103" i="121"/>
  <c r="V103" i="121"/>
  <c r="U103" i="121"/>
  <c r="T103" i="121"/>
  <c r="AC102" i="121"/>
  <c r="AB102" i="121"/>
  <c r="AA102" i="121"/>
  <c r="Z102" i="121"/>
  <c r="Y102" i="121"/>
  <c r="X102" i="121"/>
  <c r="W102" i="121"/>
  <c r="V102" i="121"/>
  <c r="U102" i="121"/>
  <c r="T102" i="121"/>
  <c r="AC101" i="121"/>
  <c r="AB101" i="121"/>
  <c r="AA101" i="121"/>
  <c r="Z101" i="121"/>
  <c r="Y101" i="121"/>
  <c r="X101" i="121"/>
  <c r="W101" i="121"/>
  <c r="V101" i="121"/>
  <c r="U101" i="121"/>
  <c r="T101" i="121"/>
  <c r="AC100" i="121"/>
  <c r="AB100" i="121"/>
  <c r="AA100" i="121"/>
  <c r="Z100" i="121"/>
  <c r="Y100" i="121"/>
  <c r="X100" i="121"/>
  <c r="W100" i="121"/>
  <c r="V100" i="121"/>
  <c r="U100" i="121"/>
  <c r="T100" i="121"/>
  <c r="AC99" i="121"/>
  <c r="AB99" i="121"/>
  <c r="AA99" i="121"/>
  <c r="Z99" i="121"/>
  <c r="Y99" i="121"/>
  <c r="X99" i="121"/>
  <c r="W99" i="121"/>
  <c r="V99" i="121"/>
  <c r="U99" i="121"/>
  <c r="T99" i="121"/>
  <c r="AC98" i="121"/>
  <c r="AB98" i="121"/>
  <c r="AA98" i="121"/>
  <c r="Z98" i="121"/>
  <c r="Y98" i="121"/>
  <c r="X98" i="121"/>
  <c r="W98" i="121"/>
  <c r="V98" i="121"/>
  <c r="U98" i="121"/>
  <c r="T98" i="121"/>
  <c r="AC97" i="121"/>
  <c r="AB97" i="121"/>
  <c r="AA97" i="121"/>
  <c r="Z97" i="121"/>
  <c r="Y97" i="121"/>
  <c r="X97" i="121"/>
  <c r="W97" i="121"/>
  <c r="V97" i="121"/>
  <c r="U97" i="121"/>
  <c r="T97" i="121"/>
  <c r="AC96" i="121"/>
  <c r="AB96" i="121"/>
  <c r="AA96" i="121"/>
  <c r="Z96" i="121"/>
  <c r="Y96" i="121"/>
  <c r="X96" i="121"/>
  <c r="W96" i="121"/>
  <c r="V96" i="121"/>
  <c r="U96" i="121"/>
  <c r="T96" i="121"/>
  <c r="AC95" i="121"/>
  <c r="AB95" i="121"/>
  <c r="AA95" i="121"/>
  <c r="Z95" i="121"/>
  <c r="Y95" i="121"/>
  <c r="X95" i="121"/>
  <c r="W95" i="121"/>
  <c r="V95" i="121"/>
  <c r="U95" i="121"/>
  <c r="T95" i="121"/>
  <c r="AC94" i="121"/>
  <c r="AB94" i="121"/>
  <c r="AA94" i="121"/>
  <c r="Z94" i="121"/>
  <c r="Y94" i="121"/>
  <c r="X94" i="121"/>
  <c r="W94" i="121"/>
  <c r="V94" i="121"/>
  <c r="U94" i="121"/>
  <c r="T94" i="121"/>
  <c r="AC91" i="121"/>
  <c r="AB91" i="121"/>
  <c r="AA91" i="121"/>
  <c r="Z91" i="121"/>
  <c r="Y91" i="121"/>
  <c r="X91" i="121"/>
  <c r="W91" i="121"/>
  <c r="V91" i="121"/>
  <c r="U91" i="121"/>
  <c r="T91" i="121"/>
  <c r="AC90" i="121"/>
  <c r="AB90" i="121"/>
  <c r="AA90" i="121"/>
  <c r="Z90" i="121"/>
  <c r="Y90" i="121"/>
  <c r="X90" i="121"/>
  <c r="W90" i="121"/>
  <c r="V90" i="121"/>
  <c r="U90" i="121"/>
  <c r="T90" i="121"/>
  <c r="AC89" i="121"/>
  <c r="AB89" i="121"/>
  <c r="AA89" i="121"/>
  <c r="Z89" i="121"/>
  <c r="Y89" i="121"/>
  <c r="X89" i="121"/>
  <c r="W89" i="121"/>
  <c r="V89" i="121"/>
  <c r="U89" i="121"/>
  <c r="T89" i="121"/>
  <c r="AC88" i="121"/>
  <c r="AB88" i="121"/>
  <c r="AA88" i="121"/>
  <c r="Z88" i="121"/>
  <c r="Y88" i="121"/>
  <c r="X88" i="121"/>
  <c r="W88" i="121"/>
  <c r="V88" i="121"/>
  <c r="U88" i="121"/>
  <c r="T88" i="121"/>
  <c r="AC87" i="121"/>
  <c r="AB87" i="121"/>
  <c r="AA87" i="121"/>
  <c r="Z87" i="121"/>
  <c r="Y87" i="121"/>
  <c r="X87" i="121"/>
  <c r="W87" i="121"/>
  <c r="V87" i="121"/>
  <c r="U87" i="121"/>
  <c r="T87" i="121"/>
  <c r="AC86" i="121"/>
  <c r="AB86" i="121"/>
  <c r="AA86" i="121"/>
  <c r="Z86" i="121"/>
  <c r="Y86" i="121"/>
  <c r="X86" i="121"/>
  <c r="W86" i="121"/>
  <c r="V86" i="121"/>
  <c r="U86" i="121"/>
  <c r="T86" i="121"/>
  <c r="AC85" i="121"/>
  <c r="AB85" i="121"/>
  <c r="AA85" i="121"/>
  <c r="Z85" i="121"/>
  <c r="Y85" i="121"/>
  <c r="X85" i="121"/>
  <c r="W85" i="121"/>
  <c r="V85" i="121"/>
  <c r="U85" i="121"/>
  <c r="T85" i="121"/>
  <c r="AC84" i="121"/>
  <c r="AB84" i="121"/>
  <c r="AA84" i="121"/>
  <c r="Z84" i="121"/>
  <c r="Y84" i="121"/>
  <c r="X84" i="121"/>
  <c r="W84" i="121"/>
  <c r="V84" i="121"/>
  <c r="U84" i="121"/>
  <c r="T84" i="121"/>
  <c r="AC83" i="121"/>
  <c r="AB83" i="121"/>
  <c r="AA83" i="121"/>
  <c r="Z83" i="121"/>
  <c r="Y83" i="121"/>
  <c r="X83" i="121"/>
  <c r="W83" i="121"/>
  <c r="V83" i="121"/>
  <c r="U83" i="121"/>
  <c r="T83" i="121"/>
  <c r="AC82" i="121"/>
  <c r="AB82" i="121"/>
  <c r="AA82" i="121"/>
  <c r="Z82" i="121"/>
  <c r="Y82" i="121"/>
  <c r="X82" i="121"/>
  <c r="W82" i="121"/>
  <c r="V82" i="121"/>
  <c r="U82" i="121"/>
  <c r="T82" i="121"/>
  <c r="AC81" i="121"/>
  <c r="AB81" i="121"/>
  <c r="AA81" i="121"/>
  <c r="Z81" i="121"/>
  <c r="Y81" i="121"/>
  <c r="X81" i="121"/>
  <c r="W81" i="121"/>
  <c r="V81" i="121"/>
  <c r="U81" i="121"/>
  <c r="T81" i="121"/>
  <c r="AC80" i="121"/>
  <c r="AB80" i="121"/>
  <c r="AA80" i="121"/>
  <c r="Z80" i="121"/>
  <c r="Y80" i="121"/>
  <c r="X80" i="121"/>
  <c r="W80" i="121"/>
  <c r="V80" i="121"/>
  <c r="U80" i="121"/>
  <c r="T80" i="121"/>
  <c r="AC79" i="121"/>
  <c r="AB79" i="121"/>
  <c r="AA79" i="121"/>
  <c r="Z79" i="121"/>
  <c r="Y79" i="121"/>
  <c r="X79" i="121"/>
  <c r="W79" i="121"/>
  <c r="V79" i="121"/>
  <c r="U79" i="121"/>
  <c r="T79" i="121"/>
  <c r="AC78" i="121"/>
  <c r="AB78" i="121"/>
  <c r="AA78" i="121"/>
  <c r="Z78" i="121"/>
  <c r="Y78" i="121"/>
  <c r="X78" i="121"/>
  <c r="W78" i="121"/>
  <c r="V78" i="121"/>
  <c r="U78" i="121"/>
  <c r="T78" i="121"/>
  <c r="AC77" i="121"/>
  <c r="AB77" i="121"/>
  <c r="AA77" i="121"/>
  <c r="Z77" i="121"/>
  <c r="Y77" i="121"/>
  <c r="X77" i="121"/>
  <c r="W77" i="121"/>
  <c r="V77" i="121"/>
  <c r="U77" i="121"/>
  <c r="T77" i="121"/>
  <c r="AC76" i="121"/>
  <c r="AB76" i="121"/>
  <c r="AA76" i="121"/>
  <c r="Z76" i="121"/>
  <c r="Y76" i="121"/>
  <c r="X76" i="121"/>
  <c r="W76" i="121"/>
  <c r="V76" i="121"/>
  <c r="U76" i="121"/>
  <c r="T76" i="121"/>
  <c r="AC75" i="121"/>
  <c r="AB75" i="121"/>
  <c r="AA75" i="121"/>
  <c r="Z75" i="121"/>
  <c r="Y75" i="121"/>
  <c r="X75" i="121"/>
  <c r="W75" i="121"/>
  <c r="V75" i="121"/>
  <c r="U75" i="121"/>
  <c r="T75" i="121"/>
  <c r="AC74" i="121"/>
  <c r="AB74" i="121"/>
  <c r="AA74" i="121"/>
  <c r="Z74" i="121"/>
  <c r="Y74" i="121"/>
  <c r="X74" i="121"/>
  <c r="W74" i="121"/>
  <c r="V74" i="121"/>
  <c r="U74" i="121"/>
  <c r="T74" i="121"/>
  <c r="AC73" i="121"/>
  <c r="AB73" i="121"/>
  <c r="AA73" i="121"/>
  <c r="Z73" i="121"/>
  <c r="Y73" i="121"/>
  <c r="X73" i="121"/>
  <c r="W73" i="121"/>
  <c r="V73" i="121"/>
  <c r="U73" i="121"/>
  <c r="T73" i="121"/>
  <c r="AC72" i="121"/>
  <c r="AB72" i="121"/>
  <c r="AA72" i="121"/>
  <c r="Z72" i="121"/>
  <c r="Y72" i="121"/>
  <c r="X72" i="121"/>
  <c r="W72" i="121"/>
  <c r="V72" i="121"/>
  <c r="U72" i="121"/>
  <c r="T72" i="121"/>
  <c r="AC71" i="121"/>
  <c r="AB71" i="121"/>
  <c r="AA71" i="121"/>
  <c r="Z71" i="121"/>
  <c r="Y71" i="121"/>
  <c r="X71" i="121"/>
  <c r="W71" i="121"/>
  <c r="V71" i="121"/>
  <c r="U71" i="121"/>
  <c r="T71" i="121"/>
  <c r="AC70" i="121"/>
  <c r="AB70" i="121"/>
  <c r="AA70" i="121"/>
  <c r="Z70" i="121"/>
  <c r="Y70" i="121"/>
  <c r="X70" i="121"/>
  <c r="W70" i="121"/>
  <c r="V70" i="121"/>
  <c r="U70" i="121"/>
  <c r="T70" i="121"/>
  <c r="AC69" i="121"/>
  <c r="AB69" i="121"/>
  <c r="AA69" i="121"/>
  <c r="Z69" i="121"/>
  <c r="Y69" i="121"/>
  <c r="X69" i="121"/>
  <c r="W69" i="121"/>
  <c r="V69" i="121"/>
  <c r="U69" i="121"/>
  <c r="T69" i="121"/>
  <c r="AC68" i="121"/>
  <c r="AB68" i="121"/>
  <c r="AA68" i="121"/>
  <c r="Z68" i="121"/>
  <c r="Y68" i="121"/>
  <c r="X68" i="121"/>
  <c r="W68" i="121"/>
  <c r="V68" i="121"/>
  <c r="U68" i="121"/>
  <c r="T68" i="121"/>
  <c r="AC67" i="121"/>
  <c r="AB67" i="121"/>
  <c r="AA67" i="121"/>
  <c r="Z67" i="121"/>
  <c r="Y67" i="121"/>
  <c r="X67" i="121"/>
  <c r="W67" i="121"/>
  <c r="V67" i="121"/>
  <c r="U67" i="121"/>
  <c r="T67" i="121"/>
  <c r="AC66" i="121"/>
  <c r="AB66" i="121"/>
  <c r="AA66" i="121"/>
  <c r="Z66" i="121"/>
  <c r="Y66" i="121"/>
  <c r="X66" i="121"/>
  <c r="W66" i="121"/>
  <c r="V66" i="121"/>
  <c r="U66" i="121"/>
  <c r="T66" i="121"/>
  <c r="AC65" i="121"/>
  <c r="AB65" i="121"/>
  <c r="AA65" i="121"/>
  <c r="Z65" i="121"/>
  <c r="Y65" i="121"/>
  <c r="X65" i="121"/>
  <c r="W65" i="121"/>
  <c r="V65" i="121"/>
  <c r="U65" i="121"/>
  <c r="T65" i="121"/>
  <c r="AC64" i="121"/>
  <c r="AB64" i="121"/>
  <c r="AA64" i="121"/>
  <c r="Z64" i="121"/>
  <c r="Y64" i="121"/>
  <c r="X64" i="121"/>
  <c r="W64" i="121"/>
  <c r="V64" i="121"/>
  <c r="U64" i="121"/>
  <c r="T64" i="121"/>
  <c r="AC63" i="121"/>
  <c r="AB63" i="121"/>
  <c r="AA63" i="121"/>
  <c r="Z63" i="121"/>
  <c r="Y63" i="121"/>
  <c r="X63" i="121"/>
  <c r="W63" i="121"/>
  <c r="V63" i="121"/>
  <c r="U63" i="121"/>
  <c r="T63" i="121"/>
  <c r="AC62" i="121"/>
  <c r="AB62" i="121"/>
  <c r="AA62" i="121"/>
  <c r="Z62" i="121"/>
  <c r="Y62" i="121"/>
  <c r="X62" i="121"/>
  <c r="W62" i="121"/>
  <c r="V62" i="121"/>
  <c r="U62" i="121"/>
  <c r="T62" i="121"/>
  <c r="AC61" i="121"/>
  <c r="AB61" i="121"/>
  <c r="AA61" i="121"/>
  <c r="Z61" i="121"/>
  <c r="Y61" i="121"/>
  <c r="X61" i="121"/>
  <c r="W61" i="121"/>
  <c r="V61" i="121"/>
  <c r="U61" i="121"/>
  <c r="T61" i="121"/>
  <c r="AC60" i="121"/>
  <c r="AB60" i="121"/>
  <c r="AA60" i="121"/>
  <c r="Z60" i="121"/>
  <c r="Y60" i="121"/>
  <c r="X60" i="121"/>
  <c r="W60" i="121"/>
  <c r="V60" i="121"/>
  <c r="U60" i="121"/>
  <c r="T60" i="121"/>
  <c r="AC59" i="121"/>
  <c r="AB59" i="121"/>
  <c r="AA59" i="121"/>
  <c r="Z59" i="121"/>
  <c r="Y59" i="121"/>
  <c r="X59" i="121"/>
  <c r="W59" i="121"/>
  <c r="V59" i="121"/>
  <c r="U59" i="121"/>
  <c r="T59" i="121"/>
  <c r="AC58" i="121"/>
  <c r="AB58" i="121"/>
  <c r="AA58" i="121"/>
  <c r="Z58" i="121"/>
  <c r="Y58" i="121"/>
  <c r="X58" i="121"/>
  <c r="W58" i="121"/>
  <c r="V58" i="121"/>
  <c r="U58" i="121"/>
  <c r="T58" i="121"/>
  <c r="AC57" i="121"/>
  <c r="AB57" i="121"/>
  <c r="AA57" i="121"/>
  <c r="Z57" i="121"/>
  <c r="Y57" i="121"/>
  <c r="X57" i="121"/>
  <c r="W57" i="121"/>
  <c r="V57" i="121"/>
  <c r="U57" i="121"/>
  <c r="T57" i="121"/>
  <c r="AC56" i="121"/>
  <c r="AB56" i="121"/>
  <c r="AA56" i="121"/>
  <c r="Z56" i="121"/>
  <c r="Y56" i="121"/>
  <c r="X56" i="121"/>
  <c r="W56" i="121"/>
  <c r="V56" i="121"/>
  <c r="U56" i="121"/>
  <c r="T56" i="121"/>
  <c r="AC55" i="121"/>
  <c r="AB55" i="121"/>
  <c r="AA55" i="121"/>
  <c r="Z55" i="121"/>
  <c r="Y55" i="121"/>
  <c r="X55" i="121"/>
  <c r="W55" i="121"/>
  <c r="V55" i="121"/>
  <c r="U55" i="121"/>
  <c r="T55" i="121"/>
  <c r="AC54" i="121"/>
  <c r="AB54" i="121"/>
  <c r="AA54" i="121"/>
  <c r="Z54" i="121"/>
  <c r="Y54" i="121"/>
  <c r="X54" i="121"/>
  <c r="W54" i="121"/>
  <c r="V54" i="121"/>
  <c r="U54" i="121"/>
  <c r="T54" i="121"/>
  <c r="AC53" i="121"/>
  <c r="AB53" i="121"/>
  <c r="AA53" i="121"/>
  <c r="Z53" i="121"/>
  <c r="Y53" i="121"/>
  <c r="X53" i="121"/>
  <c r="W53" i="121"/>
  <c r="V53" i="121"/>
  <c r="U53" i="121"/>
  <c r="T53" i="121"/>
  <c r="AC52" i="121"/>
  <c r="AB52" i="121"/>
  <c r="AA52" i="121"/>
  <c r="Z52" i="121"/>
  <c r="Y52" i="121"/>
  <c r="X52" i="121"/>
  <c r="W52" i="121"/>
  <c r="V52" i="121"/>
  <c r="U52" i="121"/>
  <c r="T52" i="121"/>
  <c r="AC51" i="121"/>
  <c r="AB51" i="121"/>
  <c r="AA51" i="121"/>
  <c r="Z51" i="121"/>
  <c r="Y51" i="121"/>
  <c r="X51" i="121"/>
  <c r="W51" i="121"/>
  <c r="V51" i="121"/>
  <c r="U51" i="121"/>
  <c r="T51" i="121"/>
  <c r="AC50" i="121"/>
  <c r="AB50" i="121"/>
  <c r="AA50" i="121"/>
  <c r="Z50" i="121"/>
  <c r="Y50" i="121"/>
  <c r="X50" i="121"/>
  <c r="W50" i="121"/>
  <c r="V50" i="121"/>
  <c r="U50" i="121"/>
  <c r="T50" i="121"/>
  <c r="AC49" i="121"/>
  <c r="AB49" i="121"/>
  <c r="AA49" i="121"/>
  <c r="Z49" i="121"/>
  <c r="Y49" i="121"/>
  <c r="X49" i="121"/>
  <c r="W49" i="121"/>
  <c r="V49" i="121"/>
  <c r="U49" i="121"/>
  <c r="T49" i="121"/>
  <c r="AC48" i="121"/>
  <c r="AB48" i="121"/>
  <c r="AA48" i="121"/>
  <c r="Z48" i="121"/>
  <c r="Y48" i="121"/>
  <c r="X48" i="121"/>
  <c r="W48" i="121"/>
  <c r="V48" i="121"/>
  <c r="U48" i="121"/>
  <c r="T48" i="121"/>
  <c r="AC47" i="121"/>
  <c r="AB47" i="121"/>
  <c r="AA47" i="121"/>
  <c r="Z47" i="121"/>
  <c r="Y47" i="121"/>
  <c r="X47" i="121"/>
  <c r="W47" i="121"/>
  <c r="V47" i="121"/>
  <c r="U47" i="121"/>
  <c r="T47" i="121"/>
  <c r="AC46" i="121"/>
  <c r="AB46" i="121"/>
  <c r="AA46" i="121"/>
  <c r="Z46" i="121"/>
  <c r="Y46" i="121"/>
  <c r="X46" i="121"/>
  <c r="W46" i="121"/>
  <c r="V46" i="121"/>
  <c r="U46" i="121"/>
  <c r="T46" i="121"/>
  <c r="T35" i="121"/>
  <c r="P35" i="121"/>
  <c r="AN23" i="121"/>
  <c r="U23" i="121"/>
  <c r="AN22" i="121"/>
  <c r="AN16" i="121"/>
  <c r="AK16" i="121"/>
  <c r="AH16" i="121"/>
  <c r="AJ16" i="121"/>
  <c r="AG16" i="121"/>
  <c r="AN15" i="121"/>
  <c r="AK15" i="121"/>
  <c r="AH15" i="121"/>
  <c r="AJ15" i="121"/>
  <c r="AG15" i="121"/>
  <c r="AN14" i="121"/>
  <c r="AK14" i="121"/>
  <c r="AH14" i="121"/>
  <c r="AJ14" i="121"/>
  <c r="AG14" i="121"/>
  <c r="AN13" i="121"/>
  <c r="AK13" i="121"/>
  <c r="AH13" i="121"/>
  <c r="AJ13" i="121"/>
  <c r="AG13" i="121"/>
  <c r="AN12" i="121"/>
  <c r="AK12" i="121"/>
  <c r="AH12" i="121"/>
  <c r="AJ12" i="121"/>
  <c r="AG12" i="121"/>
  <c r="AN11" i="121"/>
  <c r="AK11" i="121"/>
  <c r="AH11" i="121"/>
  <c r="AJ11" i="121"/>
  <c r="AG11" i="121"/>
  <c r="AN10" i="121"/>
  <c r="AK10" i="121"/>
  <c r="AH10" i="121"/>
  <c r="AJ10" i="121"/>
  <c r="AG10" i="121"/>
  <c r="AN9" i="121"/>
  <c r="AK9" i="121"/>
  <c r="AH9" i="121"/>
  <c r="AJ9" i="121"/>
  <c r="AG9" i="121"/>
  <c r="AN8" i="121"/>
  <c r="AK8" i="121"/>
  <c r="AH8" i="121"/>
  <c r="AJ8" i="121"/>
  <c r="AG8" i="121"/>
  <c r="AN7" i="121"/>
  <c r="AK7" i="121"/>
  <c r="AH7" i="121"/>
  <c r="AJ7" i="121"/>
  <c r="AG7" i="121"/>
  <c r="H174" i="120"/>
  <c r="W23" i="120"/>
  <c r="H173" i="120"/>
  <c r="W22" i="120"/>
  <c r="AC139" i="120"/>
  <c r="AB139" i="120"/>
  <c r="AA139" i="120"/>
  <c r="Z139" i="120"/>
  <c r="Y139" i="120"/>
  <c r="X139" i="120"/>
  <c r="W139" i="120"/>
  <c r="V139" i="120"/>
  <c r="U139" i="120"/>
  <c r="T139" i="120"/>
  <c r="AC138" i="120"/>
  <c r="AB138" i="120"/>
  <c r="AA138" i="120"/>
  <c r="Z138" i="120"/>
  <c r="Y138" i="120"/>
  <c r="X138" i="120"/>
  <c r="W138" i="120"/>
  <c r="V138" i="120"/>
  <c r="U138" i="120"/>
  <c r="T138" i="120"/>
  <c r="AC137" i="120"/>
  <c r="AB137" i="120"/>
  <c r="AA137" i="120"/>
  <c r="Z137" i="120"/>
  <c r="Y137" i="120"/>
  <c r="X137" i="120"/>
  <c r="W137" i="120"/>
  <c r="V137" i="120"/>
  <c r="U137" i="120"/>
  <c r="T137" i="120"/>
  <c r="AC136" i="120"/>
  <c r="AB136" i="120"/>
  <c r="AA136" i="120"/>
  <c r="Z136" i="120"/>
  <c r="Y136" i="120"/>
  <c r="X136" i="120"/>
  <c r="W136" i="120"/>
  <c r="V136" i="120"/>
  <c r="U136" i="120"/>
  <c r="T136" i="120"/>
  <c r="AC135" i="120"/>
  <c r="AB135" i="120"/>
  <c r="AA135" i="120"/>
  <c r="Z135" i="120"/>
  <c r="Y135" i="120"/>
  <c r="X135" i="120"/>
  <c r="W135" i="120"/>
  <c r="V135" i="120"/>
  <c r="U135" i="120"/>
  <c r="T135" i="120"/>
  <c r="AC134" i="120"/>
  <c r="AB134" i="120"/>
  <c r="AA134" i="120"/>
  <c r="Z134" i="120"/>
  <c r="Y134" i="120"/>
  <c r="X134" i="120"/>
  <c r="W134" i="120"/>
  <c r="V134" i="120"/>
  <c r="U134" i="120"/>
  <c r="T134" i="120"/>
  <c r="AC133" i="120"/>
  <c r="AB133" i="120"/>
  <c r="AA133" i="120"/>
  <c r="Z133" i="120"/>
  <c r="Y133" i="120"/>
  <c r="X133" i="120"/>
  <c r="W133" i="120"/>
  <c r="V133" i="120"/>
  <c r="U133" i="120"/>
  <c r="T133" i="120"/>
  <c r="AC132" i="120"/>
  <c r="AB132" i="120"/>
  <c r="AA132" i="120"/>
  <c r="Z132" i="120"/>
  <c r="Y132" i="120"/>
  <c r="X132" i="120"/>
  <c r="W132" i="120"/>
  <c r="V132" i="120"/>
  <c r="U132" i="120"/>
  <c r="T132" i="120"/>
  <c r="AC131" i="120"/>
  <c r="AB131" i="120"/>
  <c r="AA131" i="120"/>
  <c r="Z131" i="120"/>
  <c r="Y131" i="120"/>
  <c r="X131" i="120"/>
  <c r="W131" i="120"/>
  <c r="V131" i="120"/>
  <c r="U131" i="120"/>
  <c r="T131" i="120"/>
  <c r="AC130" i="120"/>
  <c r="AB130" i="120"/>
  <c r="AA130" i="120"/>
  <c r="Z130" i="120"/>
  <c r="Y130" i="120"/>
  <c r="X130" i="120"/>
  <c r="W130" i="120"/>
  <c r="V130" i="120"/>
  <c r="U130" i="120"/>
  <c r="T130" i="120"/>
  <c r="AC129" i="120"/>
  <c r="AB129" i="120"/>
  <c r="AA129" i="120"/>
  <c r="Z129" i="120"/>
  <c r="Y129" i="120"/>
  <c r="X129" i="120"/>
  <c r="W129" i="120"/>
  <c r="V129" i="120"/>
  <c r="U129" i="120"/>
  <c r="T129" i="120"/>
  <c r="AC128" i="120"/>
  <c r="AB128" i="120"/>
  <c r="AA128" i="120"/>
  <c r="Z128" i="120"/>
  <c r="Y128" i="120"/>
  <c r="X128" i="120"/>
  <c r="W128" i="120"/>
  <c r="V128" i="120"/>
  <c r="U128" i="120"/>
  <c r="T128" i="120"/>
  <c r="AC127" i="120"/>
  <c r="AB127" i="120"/>
  <c r="AA127" i="120"/>
  <c r="Z127" i="120"/>
  <c r="Y127" i="120"/>
  <c r="X127" i="120"/>
  <c r="W127" i="120"/>
  <c r="V127" i="120"/>
  <c r="U127" i="120"/>
  <c r="T127" i="120"/>
  <c r="AC126" i="120"/>
  <c r="AB126" i="120"/>
  <c r="AA126" i="120"/>
  <c r="Z126" i="120"/>
  <c r="Y126" i="120"/>
  <c r="X126" i="120"/>
  <c r="W126" i="120"/>
  <c r="V126" i="120"/>
  <c r="U126" i="120"/>
  <c r="T126" i="120"/>
  <c r="AC125" i="120"/>
  <c r="AB125" i="120"/>
  <c r="AA125" i="120"/>
  <c r="Z125" i="120"/>
  <c r="Y125" i="120"/>
  <c r="X125" i="120"/>
  <c r="W125" i="120"/>
  <c r="V125" i="120"/>
  <c r="U125" i="120"/>
  <c r="T125" i="120"/>
  <c r="AC124" i="120"/>
  <c r="AB124" i="120"/>
  <c r="AA124" i="120"/>
  <c r="Z124" i="120"/>
  <c r="Y124" i="120"/>
  <c r="X124" i="120"/>
  <c r="W124" i="120"/>
  <c r="V124" i="120"/>
  <c r="U124" i="120"/>
  <c r="T124" i="120"/>
  <c r="AC123" i="120"/>
  <c r="AB123" i="120"/>
  <c r="AA123" i="120"/>
  <c r="Z123" i="120"/>
  <c r="Y123" i="120"/>
  <c r="X123" i="120"/>
  <c r="W123" i="120"/>
  <c r="V123" i="120"/>
  <c r="U123" i="120"/>
  <c r="T123" i="120"/>
  <c r="AC122" i="120"/>
  <c r="AB122" i="120"/>
  <c r="AA122" i="120"/>
  <c r="Z122" i="120"/>
  <c r="Y122" i="120"/>
  <c r="X122" i="120"/>
  <c r="W122" i="120"/>
  <c r="V122" i="120"/>
  <c r="U122" i="120"/>
  <c r="T122" i="120"/>
  <c r="AC121" i="120"/>
  <c r="AB121" i="120"/>
  <c r="AA121" i="120"/>
  <c r="Z121" i="120"/>
  <c r="Y121" i="120"/>
  <c r="X121" i="120"/>
  <c r="W121" i="120"/>
  <c r="V121" i="120"/>
  <c r="U121" i="120"/>
  <c r="T121" i="120"/>
  <c r="AC120" i="120"/>
  <c r="AB120" i="120"/>
  <c r="AA120" i="120"/>
  <c r="Z120" i="120"/>
  <c r="Y120" i="120"/>
  <c r="X120" i="120"/>
  <c r="W120" i="120"/>
  <c r="V120" i="120"/>
  <c r="U120" i="120"/>
  <c r="T120" i="120"/>
  <c r="AC119" i="120"/>
  <c r="AB119" i="120"/>
  <c r="AA119" i="120"/>
  <c r="Z119" i="120"/>
  <c r="Y119" i="120"/>
  <c r="X119" i="120"/>
  <c r="W119" i="120"/>
  <c r="V119" i="120"/>
  <c r="U119" i="120"/>
  <c r="T119" i="120"/>
  <c r="AC118" i="120"/>
  <c r="AB118" i="120"/>
  <c r="AA118" i="120"/>
  <c r="Z118" i="120"/>
  <c r="Y118" i="120"/>
  <c r="X118" i="120"/>
  <c r="W118" i="120"/>
  <c r="V118" i="120"/>
  <c r="U118" i="120"/>
  <c r="T118" i="120"/>
  <c r="AC117" i="120"/>
  <c r="AB117" i="120"/>
  <c r="AA117" i="120"/>
  <c r="Z117" i="120"/>
  <c r="Y117" i="120"/>
  <c r="X117" i="120"/>
  <c r="W117" i="120"/>
  <c r="V117" i="120"/>
  <c r="U117" i="120"/>
  <c r="T117" i="120"/>
  <c r="AC116" i="120"/>
  <c r="AB116" i="120"/>
  <c r="AA116" i="120"/>
  <c r="Z116" i="120"/>
  <c r="Y116" i="120"/>
  <c r="X116" i="120"/>
  <c r="W116" i="120"/>
  <c r="V116" i="120"/>
  <c r="U116" i="120"/>
  <c r="T116" i="120"/>
  <c r="AC115" i="120"/>
  <c r="AB115" i="120"/>
  <c r="AA115" i="120"/>
  <c r="Z115" i="120"/>
  <c r="Y115" i="120"/>
  <c r="X115" i="120"/>
  <c r="W115" i="120"/>
  <c r="V115" i="120"/>
  <c r="U115" i="120"/>
  <c r="T115" i="120"/>
  <c r="AC114" i="120"/>
  <c r="AB114" i="120"/>
  <c r="AA114" i="120"/>
  <c r="Z114" i="120"/>
  <c r="Y114" i="120"/>
  <c r="X114" i="120"/>
  <c r="W114" i="120"/>
  <c r="V114" i="120"/>
  <c r="U114" i="120"/>
  <c r="T114" i="120"/>
  <c r="AC113" i="120"/>
  <c r="AB113" i="120"/>
  <c r="AA113" i="120"/>
  <c r="Z113" i="120"/>
  <c r="Y113" i="120"/>
  <c r="X113" i="120"/>
  <c r="W113" i="120"/>
  <c r="V113" i="120"/>
  <c r="U113" i="120"/>
  <c r="T113" i="120"/>
  <c r="AC112" i="120"/>
  <c r="AB112" i="120"/>
  <c r="AA112" i="120"/>
  <c r="Z112" i="120"/>
  <c r="Y112" i="120"/>
  <c r="X112" i="120"/>
  <c r="W112" i="120"/>
  <c r="V112" i="120"/>
  <c r="U112" i="120"/>
  <c r="T112" i="120"/>
  <c r="AC111" i="120"/>
  <c r="AB111" i="120"/>
  <c r="AA111" i="120"/>
  <c r="Z111" i="120"/>
  <c r="Y111" i="120"/>
  <c r="X111" i="120"/>
  <c r="W111" i="120"/>
  <c r="V111" i="120"/>
  <c r="U111" i="120"/>
  <c r="T111" i="120"/>
  <c r="AC110" i="120"/>
  <c r="AB110" i="120"/>
  <c r="AA110" i="120"/>
  <c r="Z110" i="120"/>
  <c r="Y110" i="120"/>
  <c r="X110" i="120"/>
  <c r="W110" i="120"/>
  <c r="V110" i="120"/>
  <c r="U110" i="120"/>
  <c r="T110" i="120"/>
  <c r="AC109" i="120"/>
  <c r="AB109" i="120"/>
  <c r="AA109" i="120"/>
  <c r="Z109" i="120"/>
  <c r="Y109" i="120"/>
  <c r="X109" i="120"/>
  <c r="W109" i="120"/>
  <c r="V109" i="120"/>
  <c r="U109" i="120"/>
  <c r="T109" i="120"/>
  <c r="AC108" i="120"/>
  <c r="AB108" i="120"/>
  <c r="AA108" i="120"/>
  <c r="Z108" i="120"/>
  <c r="Y108" i="120"/>
  <c r="X108" i="120"/>
  <c r="W108" i="120"/>
  <c r="V108" i="120"/>
  <c r="U108" i="120"/>
  <c r="T108" i="120"/>
  <c r="AC107" i="120"/>
  <c r="AB107" i="120"/>
  <c r="AA107" i="120"/>
  <c r="Z107" i="120"/>
  <c r="Y107" i="120"/>
  <c r="X107" i="120"/>
  <c r="W107" i="120"/>
  <c r="V107" i="120"/>
  <c r="U107" i="120"/>
  <c r="T107" i="120"/>
  <c r="AC106" i="120"/>
  <c r="AB106" i="120"/>
  <c r="AA106" i="120"/>
  <c r="Z106" i="120"/>
  <c r="Y106" i="120"/>
  <c r="X106" i="120"/>
  <c r="W106" i="120"/>
  <c r="V106" i="120"/>
  <c r="U106" i="120"/>
  <c r="T106" i="120"/>
  <c r="AC105" i="120"/>
  <c r="AB105" i="120"/>
  <c r="AA105" i="120"/>
  <c r="Z105" i="120"/>
  <c r="Y105" i="120"/>
  <c r="X105" i="120"/>
  <c r="W105" i="120"/>
  <c r="V105" i="120"/>
  <c r="U105" i="120"/>
  <c r="T105" i="120"/>
  <c r="AC104" i="120"/>
  <c r="AB104" i="120"/>
  <c r="AA104" i="120"/>
  <c r="Z104" i="120"/>
  <c r="Y104" i="120"/>
  <c r="X104" i="120"/>
  <c r="W104" i="120"/>
  <c r="V104" i="120"/>
  <c r="U104" i="120"/>
  <c r="T104" i="120"/>
  <c r="AC103" i="120"/>
  <c r="AB103" i="120"/>
  <c r="AA103" i="120"/>
  <c r="Z103" i="120"/>
  <c r="Y103" i="120"/>
  <c r="X103" i="120"/>
  <c r="W103" i="120"/>
  <c r="V103" i="120"/>
  <c r="U103" i="120"/>
  <c r="T103" i="120"/>
  <c r="AC102" i="120"/>
  <c r="AB102" i="120"/>
  <c r="AA102" i="120"/>
  <c r="Z102" i="120"/>
  <c r="Y102" i="120"/>
  <c r="X102" i="120"/>
  <c r="W102" i="120"/>
  <c r="V102" i="120"/>
  <c r="U102" i="120"/>
  <c r="T102" i="120"/>
  <c r="AC101" i="120"/>
  <c r="AB101" i="120"/>
  <c r="AA101" i="120"/>
  <c r="Z101" i="120"/>
  <c r="Y101" i="120"/>
  <c r="X101" i="120"/>
  <c r="W101" i="120"/>
  <c r="V101" i="120"/>
  <c r="U101" i="120"/>
  <c r="T101" i="120"/>
  <c r="AC100" i="120"/>
  <c r="AB100" i="120"/>
  <c r="AA100" i="120"/>
  <c r="Z100" i="120"/>
  <c r="Y100" i="120"/>
  <c r="X100" i="120"/>
  <c r="W100" i="120"/>
  <c r="V100" i="120"/>
  <c r="U100" i="120"/>
  <c r="T100" i="120"/>
  <c r="AC99" i="120"/>
  <c r="AB99" i="120"/>
  <c r="AA99" i="120"/>
  <c r="Z99" i="120"/>
  <c r="Y99" i="120"/>
  <c r="X99" i="120"/>
  <c r="W99" i="120"/>
  <c r="V99" i="120"/>
  <c r="U99" i="120"/>
  <c r="T99" i="120"/>
  <c r="AC98" i="120"/>
  <c r="AB98" i="120"/>
  <c r="AA98" i="120"/>
  <c r="Z98" i="120"/>
  <c r="Y98" i="120"/>
  <c r="X98" i="120"/>
  <c r="W98" i="120"/>
  <c r="V98" i="120"/>
  <c r="U98" i="120"/>
  <c r="T98" i="120"/>
  <c r="AC97" i="120"/>
  <c r="AB97" i="120"/>
  <c r="AA97" i="120"/>
  <c r="Z97" i="120"/>
  <c r="Y97" i="120"/>
  <c r="X97" i="120"/>
  <c r="W97" i="120"/>
  <c r="V97" i="120"/>
  <c r="U97" i="120"/>
  <c r="T97" i="120"/>
  <c r="AC96" i="120"/>
  <c r="AB96" i="120"/>
  <c r="AA96" i="120"/>
  <c r="Z96" i="120"/>
  <c r="Y96" i="120"/>
  <c r="X96" i="120"/>
  <c r="W96" i="120"/>
  <c r="V96" i="120"/>
  <c r="U96" i="120"/>
  <c r="T96" i="120"/>
  <c r="AC95" i="120"/>
  <c r="AB95" i="120"/>
  <c r="AA95" i="120"/>
  <c r="Z95" i="120"/>
  <c r="Y95" i="120"/>
  <c r="X95" i="120"/>
  <c r="W95" i="120"/>
  <c r="V95" i="120"/>
  <c r="U95" i="120"/>
  <c r="T95" i="120"/>
  <c r="AC94" i="120"/>
  <c r="AB94" i="120"/>
  <c r="AA94" i="120"/>
  <c r="Z94" i="120"/>
  <c r="Y94" i="120"/>
  <c r="X94" i="120"/>
  <c r="W94" i="120"/>
  <c r="V94" i="120"/>
  <c r="U94" i="120"/>
  <c r="T94" i="120"/>
  <c r="AC91" i="120"/>
  <c r="AB91" i="120"/>
  <c r="AA91" i="120"/>
  <c r="Z91" i="120"/>
  <c r="Y91" i="120"/>
  <c r="X91" i="120"/>
  <c r="W91" i="120"/>
  <c r="V91" i="120"/>
  <c r="U91" i="120"/>
  <c r="T91" i="120"/>
  <c r="AC90" i="120"/>
  <c r="AB90" i="120"/>
  <c r="AA90" i="120"/>
  <c r="Z90" i="120"/>
  <c r="Y90" i="120"/>
  <c r="X90" i="120"/>
  <c r="W90" i="120"/>
  <c r="V90" i="120"/>
  <c r="U90" i="120"/>
  <c r="T90" i="120"/>
  <c r="AC89" i="120"/>
  <c r="AB89" i="120"/>
  <c r="AA89" i="120"/>
  <c r="Z89" i="120"/>
  <c r="Y89" i="120"/>
  <c r="X89" i="120"/>
  <c r="W89" i="120"/>
  <c r="V89" i="120"/>
  <c r="U89" i="120"/>
  <c r="T89" i="120"/>
  <c r="AC88" i="120"/>
  <c r="AB88" i="120"/>
  <c r="AA88" i="120"/>
  <c r="Z88" i="120"/>
  <c r="Y88" i="120"/>
  <c r="X88" i="120"/>
  <c r="W88" i="120"/>
  <c r="V88" i="120"/>
  <c r="U88" i="120"/>
  <c r="T88" i="120"/>
  <c r="AC87" i="120"/>
  <c r="AB87" i="120"/>
  <c r="AA87" i="120"/>
  <c r="Z87" i="120"/>
  <c r="Y87" i="120"/>
  <c r="X87" i="120"/>
  <c r="W87" i="120"/>
  <c r="V87" i="120"/>
  <c r="U87" i="120"/>
  <c r="T87" i="120"/>
  <c r="AC86" i="120"/>
  <c r="AB86" i="120"/>
  <c r="AA86" i="120"/>
  <c r="Z86" i="120"/>
  <c r="Y86" i="120"/>
  <c r="X86" i="120"/>
  <c r="W86" i="120"/>
  <c r="V86" i="120"/>
  <c r="U86" i="120"/>
  <c r="T86" i="120"/>
  <c r="AC85" i="120"/>
  <c r="AB85" i="120"/>
  <c r="AA85" i="120"/>
  <c r="Z85" i="120"/>
  <c r="Y85" i="120"/>
  <c r="X85" i="120"/>
  <c r="W85" i="120"/>
  <c r="V85" i="120"/>
  <c r="U85" i="120"/>
  <c r="T85" i="120"/>
  <c r="AC84" i="120"/>
  <c r="AB84" i="120"/>
  <c r="AA84" i="120"/>
  <c r="Z84" i="120"/>
  <c r="Y84" i="120"/>
  <c r="X84" i="120"/>
  <c r="W84" i="120"/>
  <c r="V84" i="120"/>
  <c r="U84" i="120"/>
  <c r="T84" i="120"/>
  <c r="AC83" i="120"/>
  <c r="AB83" i="120"/>
  <c r="AA83" i="120"/>
  <c r="Z83" i="120"/>
  <c r="Y83" i="120"/>
  <c r="X83" i="120"/>
  <c r="W83" i="120"/>
  <c r="V83" i="120"/>
  <c r="U83" i="120"/>
  <c r="T83" i="120"/>
  <c r="AC82" i="120"/>
  <c r="AB82" i="120"/>
  <c r="AA82" i="120"/>
  <c r="Z82" i="120"/>
  <c r="Y82" i="120"/>
  <c r="X82" i="120"/>
  <c r="W82" i="120"/>
  <c r="V82" i="120"/>
  <c r="U82" i="120"/>
  <c r="T82" i="120"/>
  <c r="AC81" i="120"/>
  <c r="AB81" i="120"/>
  <c r="AA81" i="120"/>
  <c r="Z81" i="120"/>
  <c r="Y81" i="120"/>
  <c r="X81" i="120"/>
  <c r="W81" i="120"/>
  <c r="V81" i="120"/>
  <c r="U81" i="120"/>
  <c r="T81" i="120"/>
  <c r="AC80" i="120"/>
  <c r="AB80" i="120"/>
  <c r="AA80" i="120"/>
  <c r="Z80" i="120"/>
  <c r="Y80" i="120"/>
  <c r="X80" i="120"/>
  <c r="W80" i="120"/>
  <c r="V80" i="120"/>
  <c r="U80" i="120"/>
  <c r="T80" i="120"/>
  <c r="AC79" i="120"/>
  <c r="AB79" i="120"/>
  <c r="AA79" i="120"/>
  <c r="Z79" i="120"/>
  <c r="Y79" i="120"/>
  <c r="X79" i="120"/>
  <c r="W79" i="120"/>
  <c r="V79" i="120"/>
  <c r="U79" i="120"/>
  <c r="T79" i="120"/>
  <c r="AC78" i="120"/>
  <c r="AB78" i="120"/>
  <c r="AA78" i="120"/>
  <c r="Z78" i="120"/>
  <c r="Y78" i="120"/>
  <c r="X78" i="120"/>
  <c r="W78" i="120"/>
  <c r="V78" i="120"/>
  <c r="U78" i="120"/>
  <c r="T78" i="120"/>
  <c r="AC77" i="120"/>
  <c r="AB77" i="120"/>
  <c r="AA77" i="120"/>
  <c r="Z77" i="120"/>
  <c r="Y77" i="120"/>
  <c r="X77" i="120"/>
  <c r="W77" i="120"/>
  <c r="V77" i="120"/>
  <c r="U77" i="120"/>
  <c r="T77" i="120"/>
  <c r="AC76" i="120"/>
  <c r="AB76" i="120"/>
  <c r="AA76" i="120"/>
  <c r="Z76" i="120"/>
  <c r="Y76" i="120"/>
  <c r="X76" i="120"/>
  <c r="W76" i="120"/>
  <c r="V76" i="120"/>
  <c r="U76" i="120"/>
  <c r="T76" i="120"/>
  <c r="AC75" i="120"/>
  <c r="AB75" i="120"/>
  <c r="AA75" i="120"/>
  <c r="Z75" i="120"/>
  <c r="Y75" i="120"/>
  <c r="X75" i="120"/>
  <c r="W75" i="120"/>
  <c r="V75" i="120"/>
  <c r="U75" i="120"/>
  <c r="T75" i="120"/>
  <c r="AC74" i="120"/>
  <c r="AB74" i="120"/>
  <c r="AA74" i="120"/>
  <c r="Z74" i="120"/>
  <c r="Y74" i="120"/>
  <c r="X74" i="120"/>
  <c r="W74" i="120"/>
  <c r="V74" i="120"/>
  <c r="U74" i="120"/>
  <c r="T74" i="120"/>
  <c r="AC73" i="120"/>
  <c r="AB73" i="120"/>
  <c r="AA73" i="120"/>
  <c r="Z73" i="120"/>
  <c r="Y73" i="120"/>
  <c r="X73" i="120"/>
  <c r="W73" i="120"/>
  <c r="V73" i="120"/>
  <c r="U73" i="120"/>
  <c r="T73" i="120"/>
  <c r="AC72" i="120"/>
  <c r="AB72" i="120"/>
  <c r="AA72" i="120"/>
  <c r="Z72" i="120"/>
  <c r="Y72" i="120"/>
  <c r="X72" i="120"/>
  <c r="W72" i="120"/>
  <c r="V72" i="120"/>
  <c r="U72" i="120"/>
  <c r="T72" i="120"/>
  <c r="AC71" i="120"/>
  <c r="AB71" i="120"/>
  <c r="AA71" i="120"/>
  <c r="Z71" i="120"/>
  <c r="Y71" i="120"/>
  <c r="X71" i="120"/>
  <c r="W71" i="120"/>
  <c r="V71" i="120"/>
  <c r="U71" i="120"/>
  <c r="T71" i="120"/>
  <c r="AC70" i="120"/>
  <c r="AB70" i="120"/>
  <c r="AA70" i="120"/>
  <c r="Z70" i="120"/>
  <c r="Y70" i="120"/>
  <c r="X70" i="120"/>
  <c r="W70" i="120"/>
  <c r="V70" i="120"/>
  <c r="U70" i="120"/>
  <c r="T70" i="120"/>
  <c r="AC69" i="120"/>
  <c r="AB69" i="120"/>
  <c r="AA69" i="120"/>
  <c r="Z69" i="120"/>
  <c r="Y69" i="120"/>
  <c r="X69" i="120"/>
  <c r="W69" i="120"/>
  <c r="V69" i="120"/>
  <c r="U69" i="120"/>
  <c r="T69" i="120"/>
  <c r="AC68" i="120"/>
  <c r="AB68" i="120"/>
  <c r="AA68" i="120"/>
  <c r="Z68" i="120"/>
  <c r="Y68" i="120"/>
  <c r="X68" i="120"/>
  <c r="W68" i="120"/>
  <c r="V68" i="120"/>
  <c r="U68" i="120"/>
  <c r="T68" i="120"/>
  <c r="AC67" i="120"/>
  <c r="AB67" i="120"/>
  <c r="AA67" i="120"/>
  <c r="Z67" i="120"/>
  <c r="Y67" i="120"/>
  <c r="X67" i="120"/>
  <c r="W67" i="120"/>
  <c r="V67" i="120"/>
  <c r="U67" i="120"/>
  <c r="T67" i="120"/>
  <c r="AC66" i="120"/>
  <c r="AB66" i="120"/>
  <c r="AA66" i="120"/>
  <c r="Z66" i="120"/>
  <c r="Y66" i="120"/>
  <c r="X66" i="120"/>
  <c r="W66" i="120"/>
  <c r="V66" i="120"/>
  <c r="U66" i="120"/>
  <c r="T66" i="120"/>
  <c r="AC65" i="120"/>
  <c r="AB65" i="120"/>
  <c r="AA65" i="120"/>
  <c r="Z65" i="120"/>
  <c r="Y65" i="120"/>
  <c r="X65" i="120"/>
  <c r="W65" i="120"/>
  <c r="V65" i="120"/>
  <c r="U65" i="120"/>
  <c r="T65" i="120"/>
  <c r="AC64" i="120"/>
  <c r="AB64" i="120"/>
  <c r="AA64" i="120"/>
  <c r="Z64" i="120"/>
  <c r="Y64" i="120"/>
  <c r="X64" i="120"/>
  <c r="W64" i="120"/>
  <c r="V64" i="120"/>
  <c r="U64" i="120"/>
  <c r="T64" i="120"/>
  <c r="AC63" i="120"/>
  <c r="AB63" i="120"/>
  <c r="AA63" i="120"/>
  <c r="Z63" i="120"/>
  <c r="Y63" i="120"/>
  <c r="X63" i="120"/>
  <c r="W63" i="120"/>
  <c r="V63" i="120"/>
  <c r="U63" i="120"/>
  <c r="T63" i="120"/>
  <c r="AC62" i="120"/>
  <c r="AB62" i="120"/>
  <c r="AA62" i="120"/>
  <c r="Z62" i="120"/>
  <c r="Y62" i="120"/>
  <c r="X62" i="120"/>
  <c r="W62" i="120"/>
  <c r="V62" i="120"/>
  <c r="U62" i="120"/>
  <c r="T62" i="120"/>
  <c r="AC61" i="120"/>
  <c r="AB61" i="120"/>
  <c r="AA61" i="120"/>
  <c r="Z61" i="120"/>
  <c r="Y61" i="120"/>
  <c r="X61" i="120"/>
  <c r="W61" i="120"/>
  <c r="V61" i="120"/>
  <c r="U61" i="120"/>
  <c r="T61" i="120"/>
  <c r="AC60" i="120"/>
  <c r="AB60" i="120"/>
  <c r="AA60" i="120"/>
  <c r="Z60" i="120"/>
  <c r="Y60" i="120"/>
  <c r="X60" i="120"/>
  <c r="W60" i="120"/>
  <c r="V60" i="120"/>
  <c r="U60" i="120"/>
  <c r="T60" i="120"/>
  <c r="AC59" i="120"/>
  <c r="AB59" i="120"/>
  <c r="AA59" i="120"/>
  <c r="Z59" i="120"/>
  <c r="Y59" i="120"/>
  <c r="X59" i="120"/>
  <c r="W59" i="120"/>
  <c r="V59" i="120"/>
  <c r="U59" i="120"/>
  <c r="T59" i="120"/>
  <c r="AC58" i="120"/>
  <c r="AB58" i="120"/>
  <c r="AA58" i="120"/>
  <c r="Z58" i="120"/>
  <c r="Y58" i="120"/>
  <c r="X58" i="120"/>
  <c r="W58" i="120"/>
  <c r="V58" i="120"/>
  <c r="U58" i="120"/>
  <c r="T58" i="120"/>
  <c r="AC57" i="120"/>
  <c r="AB57" i="120"/>
  <c r="AA57" i="120"/>
  <c r="Z57" i="120"/>
  <c r="Y57" i="120"/>
  <c r="X57" i="120"/>
  <c r="W57" i="120"/>
  <c r="V57" i="120"/>
  <c r="U57" i="120"/>
  <c r="T57" i="120"/>
  <c r="AC56" i="120"/>
  <c r="AB56" i="120"/>
  <c r="AA56" i="120"/>
  <c r="Z56" i="120"/>
  <c r="Y56" i="120"/>
  <c r="X56" i="120"/>
  <c r="W56" i="120"/>
  <c r="V56" i="120"/>
  <c r="U56" i="120"/>
  <c r="T56" i="120"/>
  <c r="AC55" i="120"/>
  <c r="AB55" i="120"/>
  <c r="AA55" i="120"/>
  <c r="Z55" i="120"/>
  <c r="Y55" i="120"/>
  <c r="X55" i="120"/>
  <c r="W55" i="120"/>
  <c r="V55" i="120"/>
  <c r="U55" i="120"/>
  <c r="T55" i="120"/>
  <c r="AC54" i="120"/>
  <c r="AB54" i="120"/>
  <c r="AA54" i="120"/>
  <c r="Z54" i="120"/>
  <c r="Y54" i="120"/>
  <c r="X54" i="120"/>
  <c r="W54" i="120"/>
  <c r="V54" i="120"/>
  <c r="U54" i="120"/>
  <c r="T54" i="120"/>
  <c r="AC53" i="120"/>
  <c r="AB53" i="120"/>
  <c r="AA53" i="120"/>
  <c r="Z53" i="120"/>
  <c r="Y53" i="120"/>
  <c r="X53" i="120"/>
  <c r="W53" i="120"/>
  <c r="V53" i="120"/>
  <c r="U53" i="120"/>
  <c r="T53" i="120"/>
  <c r="AC52" i="120"/>
  <c r="AB52" i="120"/>
  <c r="AA52" i="120"/>
  <c r="Z52" i="120"/>
  <c r="Y52" i="120"/>
  <c r="X52" i="120"/>
  <c r="W52" i="120"/>
  <c r="V52" i="120"/>
  <c r="U52" i="120"/>
  <c r="T52" i="120"/>
  <c r="AC51" i="120"/>
  <c r="AB51" i="120"/>
  <c r="AA51" i="120"/>
  <c r="Z51" i="120"/>
  <c r="Y51" i="120"/>
  <c r="X51" i="120"/>
  <c r="W51" i="120"/>
  <c r="V51" i="120"/>
  <c r="U51" i="120"/>
  <c r="T51" i="120"/>
  <c r="AC50" i="120"/>
  <c r="AB50" i="120"/>
  <c r="AA50" i="120"/>
  <c r="Z50" i="120"/>
  <c r="Y50" i="120"/>
  <c r="X50" i="120"/>
  <c r="W50" i="120"/>
  <c r="V50" i="120"/>
  <c r="U50" i="120"/>
  <c r="T50" i="120"/>
  <c r="AC49" i="120"/>
  <c r="AB49" i="120"/>
  <c r="AA49" i="120"/>
  <c r="Z49" i="120"/>
  <c r="Y49" i="120"/>
  <c r="X49" i="120"/>
  <c r="W49" i="120"/>
  <c r="V49" i="120"/>
  <c r="U49" i="120"/>
  <c r="T49" i="120"/>
  <c r="AC48" i="120"/>
  <c r="AB48" i="120"/>
  <c r="AA48" i="120"/>
  <c r="Z48" i="120"/>
  <c r="Y48" i="120"/>
  <c r="X48" i="120"/>
  <c r="W48" i="120"/>
  <c r="V48" i="120"/>
  <c r="U48" i="120"/>
  <c r="T48" i="120"/>
  <c r="AC47" i="120"/>
  <c r="AB47" i="120"/>
  <c r="AA47" i="120"/>
  <c r="Z47" i="120"/>
  <c r="Y47" i="120"/>
  <c r="X47" i="120"/>
  <c r="W47" i="120"/>
  <c r="V47" i="120"/>
  <c r="U47" i="120"/>
  <c r="T47" i="120"/>
  <c r="AC46" i="120"/>
  <c r="AB46" i="120"/>
  <c r="AA46" i="120"/>
  <c r="Z46" i="120"/>
  <c r="Y46" i="120"/>
  <c r="X46" i="120"/>
  <c r="W46" i="120"/>
  <c r="V46" i="120"/>
  <c r="U46" i="120"/>
  <c r="T46" i="120"/>
  <c r="T35" i="120"/>
  <c r="P35" i="120"/>
  <c r="AN23" i="120"/>
  <c r="AN22" i="120"/>
  <c r="U22" i="120"/>
  <c r="AN16" i="120"/>
  <c r="AK16" i="120"/>
  <c r="AH16" i="120"/>
  <c r="AJ16" i="120"/>
  <c r="AG16" i="120"/>
  <c r="AN15" i="120"/>
  <c r="AK15" i="120"/>
  <c r="AH15" i="120"/>
  <c r="AJ15" i="120"/>
  <c r="AG15" i="120"/>
  <c r="AN14" i="120"/>
  <c r="AK14" i="120"/>
  <c r="AH14" i="120"/>
  <c r="AJ14" i="120"/>
  <c r="AG14" i="120"/>
  <c r="AN13" i="120"/>
  <c r="AK13" i="120"/>
  <c r="AH13" i="120"/>
  <c r="AJ13" i="120"/>
  <c r="AG13" i="120"/>
  <c r="AN12" i="120"/>
  <c r="AK12" i="120"/>
  <c r="AH12" i="120"/>
  <c r="AJ12" i="120"/>
  <c r="AG12" i="120"/>
  <c r="AN11" i="120"/>
  <c r="AK11" i="120"/>
  <c r="AH11" i="120"/>
  <c r="AJ11" i="120"/>
  <c r="AG11" i="120"/>
  <c r="AN10" i="120"/>
  <c r="AK10" i="120"/>
  <c r="AH10" i="120"/>
  <c r="AJ10" i="120"/>
  <c r="AG10" i="120"/>
  <c r="AN9" i="120"/>
  <c r="AK9" i="120"/>
  <c r="AH9" i="120"/>
  <c r="AJ9" i="120"/>
  <c r="AG9" i="120"/>
  <c r="AN8" i="120"/>
  <c r="AK8" i="120"/>
  <c r="AH8" i="120"/>
  <c r="AJ8" i="120"/>
  <c r="AG8" i="120"/>
  <c r="AN7" i="120"/>
  <c r="AK7" i="120"/>
  <c r="AH7" i="120"/>
  <c r="AJ7" i="120"/>
  <c r="AG7" i="120"/>
  <c r="H174" i="119"/>
  <c r="U23" i="119"/>
  <c r="H173" i="119"/>
  <c r="W22" i="119"/>
  <c r="AC139" i="119"/>
  <c r="AB139" i="119"/>
  <c r="AA139" i="119"/>
  <c r="Z139" i="119"/>
  <c r="Y139" i="119"/>
  <c r="X139" i="119"/>
  <c r="W139" i="119"/>
  <c r="V139" i="119"/>
  <c r="U139" i="119"/>
  <c r="T139" i="119"/>
  <c r="AC138" i="119"/>
  <c r="AB138" i="119"/>
  <c r="AA138" i="119"/>
  <c r="Z138" i="119"/>
  <c r="Y138" i="119"/>
  <c r="X138" i="119"/>
  <c r="W138" i="119"/>
  <c r="V138" i="119"/>
  <c r="U138" i="119"/>
  <c r="T138" i="119"/>
  <c r="AC137" i="119"/>
  <c r="AB137" i="119"/>
  <c r="AA137" i="119"/>
  <c r="Z137" i="119"/>
  <c r="Y137" i="119"/>
  <c r="X137" i="119"/>
  <c r="W137" i="119"/>
  <c r="V137" i="119"/>
  <c r="U137" i="119"/>
  <c r="T137" i="119"/>
  <c r="AC136" i="119"/>
  <c r="AB136" i="119"/>
  <c r="AA136" i="119"/>
  <c r="Z136" i="119"/>
  <c r="Y136" i="119"/>
  <c r="X136" i="119"/>
  <c r="W136" i="119"/>
  <c r="V136" i="119"/>
  <c r="U136" i="119"/>
  <c r="T136" i="119"/>
  <c r="AC135" i="119"/>
  <c r="AB135" i="119"/>
  <c r="AA135" i="119"/>
  <c r="Z135" i="119"/>
  <c r="Y135" i="119"/>
  <c r="X135" i="119"/>
  <c r="W135" i="119"/>
  <c r="V135" i="119"/>
  <c r="U135" i="119"/>
  <c r="T135" i="119"/>
  <c r="AC134" i="119"/>
  <c r="AB134" i="119"/>
  <c r="AA134" i="119"/>
  <c r="Z134" i="119"/>
  <c r="Y134" i="119"/>
  <c r="X134" i="119"/>
  <c r="W134" i="119"/>
  <c r="V134" i="119"/>
  <c r="U134" i="119"/>
  <c r="T134" i="119"/>
  <c r="AC133" i="119"/>
  <c r="AB133" i="119"/>
  <c r="AA133" i="119"/>
  <c r="Z133" i="119"/>
  <c r="Y133" i="119"/>
  <c r="X133" i="119"/>
  <c r="W133" i="119"/>
  <c r="V133" i="119"/>
  <c r="U133" i="119"/>
  <c r="T133" i="119"/>
  <c r="AC132" i="119"/>
  <c r="AB132" i="119"/>
  <c r="AA132" i="119"/>
  <c r="Z132" i="119"/>
  <c r="Y132" i="119"/>
  <c r="X132" i="119"/>
  <c r="W132" i="119"/>
  <c r="V132" i="119"/>
  <c r="U132" i="119"/>
  <c r="T132" i="119"/>
  <c r="AC131" i="119"/>
  <c r="AB131" i="119"/>
  <c r="AA131" i="119"/>
  <c r="Z131" i="119"/>
  <c r="Y131" i="119"/>
  <c r="X131" i="119"/>
  <c r="W131" i="119"/>
  <c r="V131" i="119"/>
  <c r="U131" i="119"/>
  <c r="T131" i="119"/>
  <c r="AC130" i="119"/>
  <c r="AB130" i="119"/>
  <c r="AA130" i="119"/>
  <c r="Z130" i="119"/>
  <c r="Y130" i="119"/>
  <c r="X130" i="119"/>
  <c r="W130" i="119"/>
  <c r="V130" i="119"/>
  <c r="U130" i="119"/>
  <c r="T130" i="119"/>
  <c r="AC129" i="119"/>
  <c r="AB129" i="119"/>
  <c r="AA129" i="119"/>
  <c r="Z129" i="119"/>
  <c r="Y129" i="119"/>
  <c r="X129" i="119"/>
  <c r="W129" i="119"/>
  <c r="V129" i="119"/>
  <c r="U129" i="119"/>
  <c r="T129" i="119"/>
  <c r="AC128" i="119"/>
  <c r="AB128" i="119"/>
  <c r="AA128" i="119"/>
  <c r="Z128" i="119"/>
  <c r="Y128" i="119"/>
  <c r="X128" i="119"/>
  <c r="W128" i="119"/>
  <c r="V128" i="119"/>
  <c r="U128" i="119"/>
  <c r="T128" i="119"/>
  <c r="AC127" i="119"/>
  <c r="AB127" i="119"/>
  <c r="AA127" i="119"/>
  <c r="Z127" i="119"/>
  <c r="Y127" i="119"/>
  <c r="X127" i="119"/>
  <c r="W127" i="119"/>
  <c r="V127" i="119"/>
  <c r="U127" i="119"/>
  <c r="T127" i="119"/>
  <c r="AC126" i="119"/>
  <c r="AB126" i="119"/>
  <c r="AA126" i="119"/>
  <c r="Z126" i="119"/>
  <c r="Y126" i="119"/>
  <c r="X126" i="119"/>
  <c r="W126" i="119"/>
  <c r="V126" i="119"/>
  <c r="U126" i="119"/>
  <c r="T126" i="119"/>
  <c r="AC125" i="119"/>
  <c r="AB125" i="119"/>
  <c r="AA125" i="119"/>
  <c r="Z125" i="119"/>
  <c r="Y125" i="119"/>
  <c r="X125" i="119"/>
  <c r="W125" i="119"/>
  <c r="V125" i="119"/>
  <c r="U125" i="119"/>
  <c r="T125" i="119"/>
  <c r="AC124" i="119"/>
  <c r="AB124" i="119"/>
  <c r="AA124" i="119"/>
  <c r="Z124" i="119"/>
  <c r="Y124" i="119"/>
  <c r="X124" i="119"/>
  <c r="W124" i="119"/>
  <c r="V124" i="119"/>
  <c r="U124" i="119"/>
  <c r="T124" i="119"/>
  <c r="AC123" i="119"/>
  <c r="AB123" i="119"/>
  <c r="AA123" i="119"/>
  <c r="Z123" i="119"/>
  <c r="Y123" i="119"/>
  <c r="X123" i="119"/>
  <c r="W123" i="119"/>
  <c r="V123" i="119"/>
  <c r="U123" i="119"/>
  <c r="T123" i="119"/>
  <c r="AC122" i="119"/>
  <c r="AB122" i="119"/>
  <c r="AA122" i="119"/>
  <c r="Z122" i="119"/>
  <c r="Y122" i="119"/>
  <c r="X122" i="119"/>
  <c r="W122" i="119"/>
  <c r="V122" i="119"/>
  <c r="U122" i="119"/>
  <c r="T122" i="119"/>
  <c r="AC121" i="119"/>
  <c r="AB121" i="119"/>
  <c r="AA121" i="119"/>
  <c r="Z121" i="119"/>
  <c r="Y121" i="119"/>
  <c r="X121" i="119"/>
  <c r="W121" i="119"/>
  <c r="V121" i="119"/>
  <c r="U121" i="119"/>
  <c r="T121" i="119"/>
  <c r="AC120" i="119"/>
  <c r="AB120" i="119"/>
  <c r="AA120" i="119"/>
  <c r="Z120" i="119"/>
  <c r="Y120" i="119"/>
  <c r="X120" i="119"/>
  <c r="W120" i="119"/>
  <c r="V120" i="119"/>
  <c r="U120" i="119"/>
  <c r="T120" i="119"/>
  <c r="AC119" i="119"/>
  <c r="AB119" i="119"/>
  <c r="AA119" i="119"/>
  <c r="Z119" i="119"/>
  <c r="Y119" i="119"/>
  <c r="X119" i="119"/>
  <c r="W119" i="119"/>
  <c r="V119" i="119"/>
  <c r="U119" i="119"/>
  <c r="T119" i="119"/>
  <c r="AC118" i="119"/>
  <c r="AB118" i="119"/>
  <c r="AA118" i="119"/>
  <c r="Z118" i="119"/>
  <c r="Y118" i="119"/>
  <c r="X118" i="119"/>
  <c r="W118" i="119"/>
  <c r="V118" i="119"/>
  <c r="U118" i="119"/>
  <c r="T118" i="119"/>
  <c r="AC117" i="119"/>
  <c r="AB117" i="119"/>
  <c r="AA117" i="119"/>
  <c r="Z117" i="119"/>
  <c r="Y117" i="119"/>
  <c r="X117" i="119"/>
  <c r="W117" i="119"/>
  <c r="V117" i="119"/>
  <c r="U117" i="119"/>
  <c r="T117" i="119"/>
  <c r="AC116" i="119"/>
  <c r="AB116" i="119"/>
  <c r="AA116" i="119"/>
  <c r="Z116" i="119"/>
  <c r="Y116" i="119"/>
  <c r="X116" i="119"/>
  <c r="W116" i="119"/>
  <c r="V116" i="119"/>
  <c r="U116" i="119"/>
  <c r="T116" i="119"/>
  <c r="AC115" i="119"/>
  <c r="AB115" i="119"/>
  <c r="AA115" i="119"/>
  <c r="Z115" i="119"/>
  <c r="Y115" i="119"/>
  <c r="X115" i="119"/>
  <c r="W115" i="119"/>
  <c r="V115" i="119"/>
  <c r="U115" i="119"/>
  <c r="T115" i="119"/>
  <c r="AC114" i="119"/>
  <c r="AB114" i="119"/>
  <c r="AA114" i="119"/>
  <c r="Z114" i="119"/>
  <c r="Y114" i="119"/>
  <c r="X114" i="119"/>
  <c r="W114" i="119"/>
  <c r="V114" i="119"/>
  <c r="U114" i="119"/>
  <c r="T114" i="119"/>
  <c r="AC113" i="119"/>
  <c r="AB113" i="119"/>
  <c r="AA113" i="119"/>
  <c r="Z113" i="119"/>
  <c r="Y113" i="119"/>
  <c r="X113" i="119"/>
  <c r="W113" i="119"/>
  <c r="V113" i="119"/>
  <c r="U113" i="119"/>
  <c r="T113" i="119"/>
  <c r="AC112" i="119"/>
  <c r="AB112" i="119"/>
  <c r="AA112" i="119"/>
  <c r="Z112" i="119"/>
  <c r="Y112" i="119"/>
  <c r="X112" i="119"/>
  <c r="W112" i="119"/>
  <c r="V112" i="119"/>
  <c r="U112" i="119"/>
  <c r="T112" i="119"/>
  <c r="AC111" i="119"/>
  <c r="AB111" i="119"/>
  <c r="AA111" i="119"/>
  <c r="Z111" i="119"/>
  <c r="Y111" i="119"/>
  <c r="X111" i="119"/>
  <c r="W111" i="119"/>
  <c r="V111" i="119"/>
  <c r="U111" i="119"/>
  <c r="T111" i="119"/>
  <c r="AC110" i="119"/>
  <c r="AB110" i="119"/>
  <c r="AA110" i="119"/>
  <c r="Z110" i="119"/>
  <c r="Y110" i="119"/>
  <c r="X110" i="119"/>
  <c r="W110" i="119"/>
  <c r="V110" i="119"/>
  <c r="U110" i="119"/>
  <c r="T110" i="119"/>
  <c r="AC109" i="119"/>
  <c r="AB109" i="119"/>
  <c r="AA109" i="119"/>
  <c r="Z109" i="119"/>
  <c r="Y109" i="119"/>
  <c r="X109" i="119"/>
  <c r="W109" i="119"/>
  <c r="V109" i="119"/>
  <c r="U109" i="119"/>
  <c r="T109" i="119"/>
  <c r="AC108" i="119"/>
  <c r="AB108" i="119"/>
  <c r="AA108" i="119"/>
  <c r="Z108" i="119"/>
  <c r="Y108" i="119"/>
  <c r="X108" i="119"/>
  <c r="W108" i="119"/>
  <c r="V108" i="119"/>
  <c r="U108" i="119"/>
  <c r="T108" i="119"/>
  <c r="AC107" i="119"/>
  <c r="AB107" i="119"/>
  <c r="AA107" i="119"/>
  <c r="Z107" i="119"/>
  <c r="Y107" i="119"/>
  <c r="X107" i="119"/>
  <c r="W107" i="119"/>
  <c r="V107" i="119"/>
  <c r="U107" i="119"/>
  <c r="T107" i="119"/>
  <c r="AC106" i="119"/>
  <c r="AB106" i="119"/>
  <c r="AA106" i="119"/>
  <c r="Z106" i="119"/>
  <c r="Y106" i="119"/>
  <c r="X106" i="119"/>
  <c r="W106" i="119"/>
  <c r="V106" i="119"/>
  <c r="U106" i="119"/>
  <c r="T106" i="119"/>
  <c r="AC105" i="119"/>
  <c r="AB105" i="119"/>
  <c r="AA105" i="119"/>
  <c r="Z105" i="119"/>
  <c r="Y105" i="119"/>
  <c r="X105" i="119"/>
  <c r="W105" i="119"/>
  <c r="V105" i="119"/>
  <c r="U105" i="119"/>
  <c r="T105" i="119"/>
  <c r="AC104" i="119"/>
  <c r="AB104" i="119"/>
  <c r="AA104" i="119"/>
  <c r="Z104" i="119"/>
  <c r="Y104" i="119"/>
  <c r="X104" i="119"/>
  <c r="W104" i="119"/>
  <c r="V104" i="119"/>
  <c r="U104" i="119"/>
  <c r="T104" i="119"/>
  <c r="AC103" i="119"/>
  <c r="AB103" i="119"/>
  <c r="AA103" i="119"/>
  <c r="Z103" i="119"/>
  <c r="Y103" i="119"/>
  <c r="X103" i="119"/>
  <c r="W103" i="119"/>
  <c r="V103" i="119"/>
  <c r="U103" i="119"/>
  <c r="T103" i="119"/>
  <c r="AC102" i="119"/>
  <c r="AB102" i="119"/>
  <c r="AA102" i="119"/>
  <c r="Z102" i="119"/>
  <c r="Y102" i="119"/>
  <c r="X102" i="119"/>
  <c r="W102" i="119"/>
  <c r="V102" i="119"/>
  <c r="U102" i="119"/>
  <c r="T102" i="119"/>
  <c r="AC101" i="119"/>
  <c r="AB101" i="119"/>
  <c r="AA101" i="119"/>
  <c r="Z101" i="119"/>
  <c r="Y101" i="119"/>
  <c r="X101" i="119"/>
  <c r="W101" i="119"/>
  <c r="V101" i="119"/>
  <c r="U101" i="119"/>
  <c r="T101" i="119"/>
  <c r="AC100" i="119"/>
  <c r="AB100" i="119"/>
  <c r="AA100" i="119"/>
  <c r="Z100" i="119"/>
  <c r="Y100" i="119"/>
  <c r="X100" i="119"/>
  <c r="W100" i="119"/>
  <c r="V100" i="119"/>
  <c r="U100" i="119"/>
  <c r="T100" i="119"/>
  <c r="AC99" i="119"/>
  <c r="AB99" i="119"/>
  <c r="AA99" i="119"/>
  <c r="Z99" i="119"/>
  <c r="Y99" i="119"/>
  <c r="X99" i="119"/>
  <c r="W99" i="119"/>
  <c r="V99" i="119"/>
  <c r="U99" i="119"/>
  <c r="T99" i="119"/>
  <c r="AC98" i="119"/>
  <c r="AB98" i="119"/>
  <c r="AA98" i="119"/>
  <c r="Z98" i="119"/>
  <c r="Y98" i="119"/>
  <c r="X98" i="119"/>
  <c r="W98" i="119"/>
  <c r="V98" i="119"/>
  <c r="U98" i="119"/>
  <c r="T98" i="119"/>
  <c r="AC97" i="119"/>
  <c r="AB97" i="119"/>
  <c r="AA97" i="119"/>
  <c r="Z97" i="119"/>
  <c r="Y97" i="119"/>
  <c r="X97" i="119"/>
  <c r="W97" i="119"/>
  <c r="V97" i="119"/>
  <c r="U97" i="119"/>
  <c r="T97" i="119"/>
  <c r="AC96" i="119"/>
  <c r="AB96" i="119"/>
  <c r="AA96" i="119"/>
  <c r="Z96" i="119"/>
  <c r="Y96" i="119"/>
  <c r="X96" i="119"/>
  <c r="W96" i="119"/>
  <c r="V96" i="119"/>
  <c r="U96" i="119"/>
  <c r="T96" i="119"/>
  <c r="AC95" i="119"/>
  <c r="AB95" i="119"/>
  <c r="AA95" i="119"/>
  <c r="Z95" i="119"/>
  <c r="Y95" i="119"/>
  <c r="X95" i="119"/>
  <c r="W95" i="119"/>
  <c r="V95" i="119"/>
  <c r="U95" i="119"/>
  <c r="T95" i="119"/>
  <c r="AC94" i="119"/>
  <c r="AB94" i="119"/>
  <c r="AA94" i="119"/>
  <c r="Z94" i="119"/>
  <c r="Y94" i="119"/>
  <c r="X94" i="119"/>
  <c r="W94" i="119"/>
  <c r="V94" i="119"/>
  <c r="U94" i="119"/>
  <c r="T94" i="119"/>
  <c r="AC91" i="119"/>
  <c r="AB91" i="119"/>
  <c r="AA91" i="119"/>
  <c r="Z91" i="119"/>
  <c r="Y91" i="119"/>
  <c r="X91" i="119"/>
  <c r="W91" i="119"/>
  <c r="V91" i="119"/>
  <c r="U91" i="119"/>
  <c r="T91" i="119"/>
  <c r="AC90" i="119"/>
  <c r="AB90" i="119"/>
  <c r="AA90" i="119"/>
  <c r="Z90" i="119"/>
  <c r="Y90" i="119"/>
  <c r="X90" i="119"/>
  <c r="W90" i="119"/>
  <c r="V90" i="119"/>
  <c r="U90" i="119"/>
  <c r="T90" i="119"/>
  <c r="AC89" i="119"/>
  <c r="AB89" i="119"/>
  <c r="AA89" i="119"/>
  <c r="Z89" i="119"/>
  <c r="Y89" i="119"/>
  <c r="X89" i="119"/>
  <c r="W89" i="119"/>
  <c r="V89" i="119"/>
  <c r="U89" i="119"/>
  <c r="T89" i="119"/>
  <c r="AC88" i="119"/>
  <c r="AB88" i="119"/>
  <c r="AA88" i="119"/>
  <c r="Z88" i="119"/>
  <c r="Y88" i="119"/>
  <c r="X88" i="119"/>
  <c r="W88" i="119"/>
  <c r="V88" i="119"/>
  <c r="U88" i="119"/>
  <c r="T88" i="119"/>
  <c r="AC87" i="119"/>
  <c r="AB87" i="119"/>
  <c r="AA87" i="119"/>
  <c r="Z87" i="119"/>
  <c r="Y87" i="119"/>
  <c r="X87" i="119"/>
  <c r="W87" i="119"/>
  <c r="V87" i="119"/>
  <c r="U87" i="119"/>
  <c r="T87" i="119"/>
  <c r="AC86" i="119"/>
  <c r="AB86" i="119"/>
  <c r="AA86" i="119"/>
  <c r="Z86" i="119"/>
  <c r="Y86" i="119"/>
  <c r="X86" i="119"/>
  <c r="W86" i="119"/>
  <c r="V86" i="119"/>
  <c r="U86" i="119"/>
  <c r="T86" i="119"/>
  <c r="AC85" i="119"/>
  <c r="AB85" i="119"/>
  <c r="AA85" i="119"/>
  <c r="Z85" i="119"/>
  <c r="Y85" i="119"/>
  <c r="X85" i="119"/>
  <c r="W85" i="119"/>
  <c r="V85" i="119"/>
  <c r="U85" i="119"/>
  <c r="T85" i="119"/>
  <c r="AC84" i="119"/>
  <c r="AB84" i="119"/>
  <c r="AA84" i="119"/>
  <c r="Z84" i="119"/>
  <c r="Y84" i="119"/>
  <c r="X84" i="119"/>
  <c r="W84" i="119"/>
  <c r="V84" i="119"/>
  <c r="U84" i="119"/>
  <c r="T84" i="119"/>
  <c r="AC83" i="119"/>
  <c r="AB83" i="119"/>
  <c r="AA83" i="119"/>
  <c r="Z83" i="119"/>
  <c r="Y83" i="119"/>
  <c r="X83" i="119"/>
  <c r="W83" i="119"/>
  <c r="V83" i="119"/>
  <c r="U83" i="119"/>
  <c r="T83" i="119"/>
  <c r="AC82" i="119"/>
  <c r="AB82" i="119"/>
  <c r="AA82" i="119"/>
  <c r="Z82" i="119"/>
  <c r="Y82" i="119"/>
  <c r="X82" i="119"/>
  <c r="W82" i="119"/>
  <c r="V82" i="119"/>
  <c r="U82" i="119"/>
  <c r="T82" i="119"/>
  <c r="AC81" i="119"/>
  <c r="AB81" i="119"/>
  <c r="AA81" i="119"/>
  <c r="Z81" i="119"/>
  <c r="Y81" i="119"/>
  <c r="X81" i="119"/>
  <c r="W81" i="119"/>
  <c r="V81" i="119"/>
  <c r="U81" i="119"/>
  <c r="T81" i="119"/>
  <c r="AC80" i="119"/>
  <c r="AB80" i="119"/>
  <c r="AA80" i="119"/>
  <c r="Z80" i="119"/>
  <c r="Y80" i="119"/>
  <c r="X80" i="119"/>
  <c r="W80" i="119"/>
  <c r="V80" i="119"/>
  <c r="U80" i="119"/>
  <c r="T80" i="119"/>
  <c r="AC79" i="119"/>
  <c r="AB79" i="119"/>
  <c r="AA79" i="119"/>
  <c r="Z79" i="119"/>
  <c r="Y79" i="119"/>
  <c r="X79" i="119"/>
  <c r="W79" i="119"/>
  <c r="V79" i="119"/>
  <c r="U79" i="119"/>
  <c r="T79" i="119"/>
  <c r="AC78" i="119"/>
  <c r="AB78" i="119"/>
  <c r="AA78" i="119"/>
  <c r="Z78" i="119"/>
  <c r="Y78" i="119"/>
  <c r="X78" i="119"/>
  <c r="W78" i="119"/>
  <c r="V78" i="119"/>
  <c r="U78" i="119"/>
  <c r="T78" i="119"/>
  <c r="AC77" i="119"/>
  <c r="AB77" i="119"/>
  <c r="AA77" i="119"/>
  <c r="Z77" i="119"/>
  <c r="Y77" i="119"/>
  <c r="X77" i="119"/>
  <c r="W77" i="119"/>
  <c r="V77" i="119"/>
  <c r="U77" i="119"/>
  <c r="T77" i="119"/>
  <c r="AC76" i="119"/>
  <c r="AB76" i="119"/>
  <c r="AA76" i="119"/>
  <c r="Z76" i="119"/>
  <c r="Y76" i="119"/>
  <c r="X76" i="119"/>
  <c r="W76" i="119"/>
  <c r="V76" i="119"/>
  <c r="U76" i="119"/>
  <c r="T76" i="119"/>
  <c r="AC75" i="119"/>
  <c r="AB75" i="119"/>
  <c r="AA75" i="119"/>
  <c r="Z75" i="119"/>
  <c r="Y75" i="119"/>
  <c r="X75" i="119"/>
  <c r="W75" i="119"/>
  <c r="V75" i="119"/>
  <c r="U75" i="119"/>
  <c r="T75" i="119"/>
  <c r="AC74" i="119"/>
  <c r="AB74" i="119"/>
  <c r="AA74" i="119"/>
  <c r="Z74" i="119"/>
  <c r="Y74" i="119"/>
  <c r="X74" i="119"/>
  <c r="W74" i="119"/>
  <c r="V74" i="119"/>
  <c r="U74" i="119"/>
  <c r="T74" i="119"/>
  <c r="AC73" i="119"/>
  <c r="AB73" i="119"/>
  <c r="AA73" i="119"/>
  <c r="Z73" i="119"/>
  <c r="Y73" i="119"/>
  <c r="X73" i="119"/>
  <c r="W73" i="119"/>
  <c r="V73" i="119"/>
  <c r="U73" i="119"/>
  <c r="T73" i="119"/>
  <c r="AC72" i="119"/>
  <c r="AB72" i="119"/>
  <c r="AA72" i="119"/>
  <c r="Z72" i="119"/>
  <c r="Y72" i="119"/>
  <c r="X72" i="119"/>
  <c r="W72" i="119"/>
  <c r="V72" i="119"/>
  <c r="U72" i="119"/>
  <c r="T72" i="119"/>
  <c r="AC71" i="119"/>
  <c r="AB71" i="119"/>
  <c r="AA71" i="119"/>
  <c r="Z71" i="119"/>
  <c r="Y71" i="119"/>
  <c r="X71" i="119"/>
  <c r="W71" i="119"/>
  <c r="V71" i="119"/>
  <c r="U71" i="119"/>
  <c r="T71" i="119"/>
  <c r="AC70" i="119"/>
  <c r="AB70" i="119"/>
  <c r="AA70" i="119"/>
  <c r="Z70" i="119"/>
  <c r="Y70" i="119"/>
  <c r="X70" i="119"/>
  <c r="W70" i="119"/>
  <c r="V70" i="119"/>
  <c r="U70" i="119"/>
  <c r="T70" i="119"/>
  <c r="AC69" i="119"/>
  <c r="AB69" i="119"/>
  <c r="AA69" i="119"/>
  <c r="Z69" i="119"/>
  <c r="Y69" i="119"/>
  <c r="X69" i="119"/>
  <c r="W69" i="119"/>
  <c r="V69" i="119"/>
  <c r="U69" i="119"/>
  <c r="T69" i="119"/>
  <c r="AC68" i="119"/>
  <c r="AB68" i="119"/>
  <c r="AA68" i="119"/>
  <c r="Z68" i="119"/>
  <c r="Y68" i="119"/>
  <c r="X68" i="119"/>
  <c r="W68" i="119"/>
  <c r="V68" i="119"/>
  <c r="U68" i="119"/>
  <c r="T68" i="119"/>
  <c r="AC67" i="119"/>
  <c r="AB67" i="119"/>
  <c r="AA67" i="119"/>
  <c r="Z67" i="119"/>
  <c r="Y67" i="119"/>
  <c r="X67" i="119"/>
  <c r="W67" i="119"/>
  <c r="V67" i="119"/>
  <c r="U67" i="119"/>
  <c r="T67" i="119"/>
  <c r="AC66" i="119"/>
  <c r="AB66" i="119"/>
  <c r="AA66" i="119"/>
  <c r="Z66" i="119"/>
  <c r="Y66" i="119"/>
  <c r="X66" i="119"/>
  <c r="W66" i="119"/>
  <c r="V66" i="119"/>
  <c r="U66" i="119"/>
  <c r="T66" i="119"/>
  <c r="AC65" i="119"/>
  <c r="AB65" i="119"/>
  <c r="AA65" i="119"/>
  <c r="Z65" i="119"/>
  <c r="Y65" i="119"/>
  <c r="X65" i="119"/>
  <c r="W65" i="119"/>
  <c r="V65" i="119"/>
  <c r="U65" i="119"/>
  <c r="T65" i="119"/>
  <c r="AC64" i="119"/>
  <c r="AB64" i="119"/>
  <c r="AA64" i="119"/>
  <c r="Z64" i="119"/>
  <c r="Y64" i="119"/>
  <c r="X64" i="119"/>
  <c r="W64" i="119"/>
  <c r="V64" i="119"/>
  <c r="U64" i="119"/>
  <c r="T64" i="119"/>
  <c r="AC63" i="119"/>
  <c r="AB63" i="119"/>
  <c r="AA63" i="119"/>
  <c r="Z63" i="119"/>
  <c r="Y63" i="119"/>
  <c r="X63" i="119"/>
  <c r="W63" i="119"/>
  <c r="V63" i="119"/>
  <c r="U63" i="119"/>
  <c r="T63" i="119"/>
  <c r="AC62" i="119"/>
  <c r="AB62" i="119"/>
  <c r="AA62" i="119"/>
  <c r="Z62" i="119"/>
  <c r="Y62" i="119"/>
  <c r="X62" i="119"/>
  <c r="W62" i="119"/>
  <c r="V62" i="119"/>
  <c r="U62" i="119"/>
  <c r="T62" i="119"/>
  <c r="AC61" i="119"/>
  <c r="AB61" i="119"/>
  <c r="AA61" i="119"/>
  <c r="Z61" i="119"/>
  <c r="Y61" i="119"/>
  <c r="X61" i="119"/>
  <c r="W61" i="119"/>
  <c r="V61" i="119"/>
  <c r="U61" i="119"/>
  <c r="T61" i="119"/>
  <c r="AC60" i="119"/>
  <c r="AB60" i="119"/>
  <c r="AA60" i="119"/>
  <c r="Z60" i="119"/>
  <c r="Y60" i="119"/>
  <c r="X60" i="119"/>
  <c r="W60" i="119"/>
  <c r="V60" i="119"/>
  <c r="U60" i="119"/>
  <c r="T60" i="119"/>
  <c r="AC59" i="119"/>
  <c r="AB59" i="119"/>
  <c r="AA59" i="119"/>
  <c r="Z59" i="119"/>
  <c r="Y59" i="119"/>
  <c r="X59" i="119"/>
  <c r="W59" i="119"/>
  <c r="V59" i="119"/>
  <c r="U59" i="119"/>
  <c r="T59" i="119"/>
  <c r="AC58" i="119"/>
  <c r="AB58" i="119"/>
  <c r="AA58" i="119"/>
  <c r="Z58" i="119"/>
  <c r="Y58" i="119"/>
  <c r="X58" i="119"/>
  <c r="W58" i="119"/>
  <c r="V58" i="119"/>
  <c r="U58" i="119"/>
  <c r="T58" i="119"/>
  <c r="AC57" i="119"/>
  <c r="AB57" i="119"/>
  <c r="AA57" i="119"/>
  <c r="Z57" i="119"/>
  <c r="Y57" i="119"/>
  <c r="X57" i="119"/>
  <c r="W57" i="119"/>
  <c r="V57" i="119"/>
  <c r="U57" i="119"/>
  <c r="T57" i="119"/>
  <c r="AC56" i="119"/>
  <c r="AB56" i="119"/>
  <c r="AA56" i="119"/>
  <c r="Z56" i="119"/>
  <c r="Y56" i="119"/>
  <c r="X56" i="119"/>
  <c r="W56" i="119"/>
  <c r="V56" i="119"/>
  <c r="U56" i="119"/>
  <c r="T56" i="119"/>
  <c r="AC55" i="119"/>
  <c r="AB55" i="119"/>
  <c r="AA55" i="119"/>
  <c r="Z55" i="119"/>
  <c r="Y55" i="119"/>
  <c r="X55" i="119"/>
  <c r="W55" i="119"/>
  <c r="V55" i="119"/>
  <c r="U55" i="119"/>
  <c r="T55" i="119"/>
  <c r="AC54" i="119"/>
  <c r="AB54" i="119"/>
  <c r="AA54" i="119"/>
  <c r="Z54" i="119"/>
  <c r="Y54" i="119"/>
  <c r="X54" i="119"/>
  <c r="W54" i="119"/>
  <c r="V54" i="119"/>
  <c r="U54" i="119"/>
  <c r="T54" i="119"/>
  <c r="AC53" i="119"/>
  <c r="AB53" i="119"/>
  <c r="AA53" i="119"/>
  <c r="Z53" i="119"/>
  <c r="Y53" i="119"/>
  <c r="X53" i="119"/>
  <c r="W53" i="119"/>
  <c r="V53" i="119"/>
  <c r="U53" i="119"/>
  <c r="T53" i="119"/>
  <c r="AC52" i="119"/>
  <c r="AB52" i="119"/>
  <c r="AA52" i="119"/>
  <c r="Z52" i="119"/>
  <c r="Y52" i="119"/>
  <c r="X52" i="119"/>
  <c r="W52" i="119"/>
  <c r="V52" i="119"/>
  <c r="U52" i="119"/>
  <c r="T52" i="119"/>
  <c r="AC51" i="119"/>
  <c r="AB51" i="119"/>
  <c r="AA51" i="119"/>
  <c r="Z51" i="119"/>
  <c r="Y51" i="119"/>
  <c r="X51" i="119"/>
  <c r="W51" i="119"/>
  <c r="V51" i="119"/>
  <c r="U51" i="119"/>
  <c r="T51" i="119"/>
  <c r="AC50" i="119"/>
  <c r="AB50" i="119"/>
  <c r="AA50" i="119"/>
  <c r="Z50" i="119"/>
  <c r="Y50" i="119"/>
  <c r="X50" i="119"/>
  <c r="W50" i="119"/>
  <c r="V50" i="119"/>
  <c r="U50" i="119"/>
  <c r="T50" i="119"/>
  <c r="AC49" i="119"/>
  <c r="AB49" i="119"/>
  <c r="AA49" i="119"/>
  <c r="Z49" i="119"/>
  <c r="Y49" i="119"/>
  <c r="X49" i="119"/>
  <c r="W49" i="119"/>
  <c r="V49" i="119"/>
  <c r="U49" i="119"/>
  <c r="T49" i="119"/>
  <c r="AC48" i="119"/>
  <c r="AB48" i="119"/>
  <c r="AA48" i="119"/>
  <c r="Z48" i="119"/>
  <c r="Y48" i="119"/>
  <c r="X48" i="119"/>
  <c r="W48" i="119"/>
  <c r="V48" i="119"/>
  <c r="U48" i="119"/>
  <c r="T48" i="119"/>
  <c r="AC47" i="119"/>
  <c r="AB47" i="119"/>
  <c r="AA47" i="119"/>
  <c r="Z47" i="119"/>
  <c r="Y47" i="119"/>
  <c r="X47" i="119"/>
  <c r="W47" i="119"/>
  <c r="V47" i="119"/>
  <c r="U47" i="119"/>
  <c r="T47" i="119"/>
  <c r="AC46" i="119"/>
  <c r="AB46" i="119"/>
  <c r="AA46" i="119"/>
  <c r="Z46" i="119"/>
  <c r="Y46" i="119"/>
  <c r="X46" i="119"/>
  <c r="W46" i="119"/>
  <c r="V46" i="119"/>
  <c r="U46" i="119"/>
  <c r="T46" i="119"/>
  <c r="T35" i="119"/>
  <c r="P35" i="119"/>
  <c r="AN23" i="119"/>
  <c r="W23" i="119"/>
  <c r="AN22" i="119"/>
  <c r="U22" i="119"/>
  <c r="AN16" i="119"/>
  <c r="AN15" i="119"/>
  <c r="AN14" i="119"/>
  <c r="AN13" i="119"/>
  <c r="AN12" i="119"/>
  <c r="AN11" i="119"/>
  <c r="AN10" i="119"/>
  <c r="AN9" i="119"/>
  <c r="AN8" i="119"/>
  <c r="AN7" i="119"/>
  <c r="H174" i="118"/>
  <c r="W23" i="118"/>
  <c r="H173" i="118"/>
  <c r="W22" i="118"/>
  <c r="AC139" i="118"/>
  <c r="AB139" i="118"/>
  <c r="AA139" i="118"/>
  <c r="Z139" i="118"/>
  <c r="Y139" i="118"/>
  <c r="X139" i="118"/>
  <c r="W139" i="118"/>
  <c r="V139" i="118"/>
  <c r="U139" i="118"/>
  <c r="T139" i="118"/>
  <c r="AC138" i="118"/>
  <c r="AB138" i="118"/>
  <c r="AA138" i="118"/>
  <c r="Z138" i="118"/>
  <c r="Y138" i="118"/>
  <c r="X138" i="118"/>
  <c r="W138" i="118"/>
  <c r="V138" i="118"/>
  <c r="U138" i="118"/>
  <c r="T138" i="118"/>
  <c r="AC137" i="118"/>
  <c r="AB137" i="118"/>
  <c r="AA137" i="118"/>
  <c r="Z137" i="118"/>
  <c r="Y137" i="118"/>
  <c r="X137" i="118"/>
  <c r="W137" i="118"/>
  <c r="V137" i="118"/>
  <c r="U137" i="118"/>
  <c r="T137" i="118"/>
  <c r="AC136" i="118"/>
  <c r="AB136" i="118"/>
  <c r="AA136" i="118"/>
  <c r="Z136" i="118"/>
  <c r="Y136" i="118"/>
  <c r="X136" i="118"/>
  <c r="W136" i="118"/>
  <c r="V136" i="118"/>
  <c r="U136" i="118"/>
  <c r="T136" i="118"/>
  <c r="AC135" i="118"/>
  <c r="AB135" i="118"/>
  <c r="AA135" i="118"/>
  <c r="Z135" i="118"/>
  <c r="Y135" i="118"/>
  <c r="X135" i="118"/>
  <c r="W135" i="118"/>
  <c r="V135" i="118"/>
  <c r="U135" i="118"/>
  <c r="T135" i="118"/>
  <c r="AC134" i="118"/>
  <c r="AB134" i="118"/>
  <c r="AA134" i="118"/>
  <c r="Z134" i="118"/>
  <c r="Y134" i="118"/>
  <c r="X134" i="118"/>
  <c r="W134" i="118"/>
  <c r="V134" i="118"/>
  <c r="U134" i="118"/>
  <c r="T134" i="118"/>
  <c r="AC133" i="118"/>
  <c r="AB133" i="118"/>
  <c r="AA133" i="118"/>
  <c r="Z133" i="118"/>
  <c r="Y133" i="118"/>
  <c r="X133" i="118"/>
  <c r="W133" i="118"/>
  <c r="V133" i="118"/>
  <c r="U133" i="118"/>
  <c r="T133" i="118"/>
  <c r="AC132" i="118"/>
  <c r="AB132" i="118"/>
  <c r="AA132" i="118"/>
  <c r="Z132" i="118"/>
  <c r="Y132" i="118"/>
  <c r="X132" i="118"/>
  <c r="W132" i="118"/>
  <c r="V132" i="118"/>
  <c r="U132" i="118"/>
  <c r="T132" i="118"/>
  <c r="AC131" i="118"/>
  <c r="AB131" i="118"/>
  <c r="AA131" i="118"/>
  <c r="Z131" i="118"/>
  <c r="Y131" i="118"/>
  <c r="X131" i="118"/>
  <c r="W131" i="118"/>
  <c r="V131" i="118"/>
  <c r="U131" i="118"/>
  <c r="T131" i="118"/>
  <c r="AC130" i="118"/>
  <c r="AB130" i="118"/>
  <c r="AA130" i="118"/>
  <c r="Z130" i="118"/>
  <c r="Y130" i="118"/>
  <c r="X130" i="118"/>
  <c r="W130" i="118"/>
  <c r="V130" i="118"/>
  <c r="U130" i="118"/>
  <c r="T130" i="118"/>
  <c r="AC129" i="118"/>
  <c r="AB129" i="118"/>
  <c r="AA129" i="118"/>
  <c r="Z129" i="118"/>
  <c r="Y129" i="118"/>
  <c r="X129" i="118"/>
  <c r="W129" i="118"/>
  <c r="V129" i="118"/>
  <c r="U129" i="118"/>
  <c r="T129" i="118"/>
  <c r="AC128" i="118"/>
  <c r="AB128" i="118"/>
  <c r="AA128" i="118"/>
  <c r="Z128" i="118"/>
  <c r="Y128" i="118"/>
  <c r="X128" i="118"/>
  <c r="W128" i="118"/>
  <c r="V128" i="118"/>
  <c r="U128" i="118"/>
  <c r="T128" i="118"/>
  <c r="AC127" i="118"/>
  <c r="AB127" i="118"/>
  <c r="AA127" i="118"/>
  <c r="Z127" i="118"/>
  <c r="Y127" i="118"/>
  <c r="X127" i="118"/>
  <c r="W127" i="118"/>
  <c r="V127" i="118"/>
  <c r="U127" i="118"/>
  <c r="T127" i="118"/>
  <c r="AC126" i="118"/>
  <c r="AB126" i="118"/>
  <c r="AA126" i="118"/>
  <c r="Z126" i="118"/>
  <c r="Y126" i="118"/>
  <c r="X126" i="118"/>
  <c r="W126" i="118"/>
  <c r="V126" i="118"/>
  <c r="U126" i="118"/>
  <c r="T126" i="118"/>
  <c r="AC125" i="118"/>
  <c r="AB125" i="118"/>
  <c r="AA125" i="118"/>
  <c r="Z125" i="118"/>
  <c r="Y125" i="118"/>
  <c r="X125" i="118"/>
  <c r="W125" i="118"/>
  <c r="V125" i="118"/>
  <c r="U125" i="118"/>
  <c r="T125" i="118"/>
  <c r="AC124" i="118"/>
  <c r="AB124" i="118"/>
  <c r="AA124" i="118"/>
  <c r="Z124" i="118"/>
  <c r="Y124" i="118"/>
  <c r="X124" i="118"/>
  <c r="W124" i="118"/>
  <c r="V124" i="118"/>
  <c r="U124" i="118"/>
  <c r="T124" i="118"/>
  <c r="AC123" i="118"/>
  <c r="AB123" i="118"/>
  <c r="AA123" i="118"/>
  <c r="Z123" i="118"/>
  <c r="Y123" i="118"/>
  <c r="X123" i="118"/>
  <c r="W123" i="118"/>
  <c r="V123" i="118"/>
  <c r="U123" i="118"/>
  <c r="T123" i="118"/>
  <c r="AC122" i="118"/>
  <c r="AB122" i="118"/>
  <c r="AA122" i="118"/>
  <c r="Z122" i="118"/>
  <c r="Y122" i="118"/>
  <c r="X122" i="118"/>
  <c r="W122" i="118"/>
  <c r="V122" i="118"/>
  <c r="U122" i="118"/>
  <c r="T122" i="118"/>
  <c r="AC121" i="118"/>
  <c r="AB121" i="118"/>
  <c r="AA121" i="118"/>
  <c r="Z121" i="118"/>
  <c r="Y121" i="118"/>
  <c r="X121" i="118"/>
  <c r="W121" i="118"/>
  <c r="V121" i="118"/>
  <c r="U121" i="118"/>
  <c r="T121" i="118"/>
  <c r="AC120" i="118"/>
  <c r="AB120" i="118"/>
  <c r="AA120" i="118"/>
  <c r="Z120" i="118"/>
  <c r="Y120" i="118"/>
  <c r="X120" i="118"/>
  <c r="W120" i="118"/>
  <c r="V120" i="118"/>
  <c r="U120" i="118"/>
  <c r="T120" i="118"/>
  <c r="AC119" i="118"/>
  <c r="AB119" i="118"/>
  <c r="AA119" i="118"/>
  <c r="Z119" i="118"/>
  <c r="Y119" i="118"/>
  <c r="X119" i="118"/>
  <c r="W119" i="118"/>
  <c r="V119" i="118"/>
  <c r="U119" i="118"/>
  <c r="T119" i="118"/>
  <c r="AC118" i="118"/>
  <c r="AB118" i="118"/>
  <c r="AA118" i="118"/>
  <c r="Z118" i="118"/>
  <c r="Y118" i="118"/>
  <c r="X118" i="118"/>
  <c r="W118" i="118"/>
  <c r="V118" i="118"/>
  <c r="U118" i="118"/>
  <c r="T118" i="118"/>
  <c r="AC117" i="118"/>
  <c r="AB117" i="118"/>
  <c r="AA117" i="118"/>
  <c r="Z117" i="118"/>
  <c r="Y117" i="118"/>
  <c r="X117" i="118"/>
  <c r="W117" i="118"/>
  <c r="V117" i="118"/>
  <c r="U117" i="118"/>
  <c r="T117" i="118"/>
  <c r="AC116" i="118"/>
  <c r="AB116" i="118"/>
  <c r="AA116" i="118"/>
  <c r="Z116" i="118"/>
  <c r="Y116" i="118"/>
  <c r="X116" i="118"/>
  <c r="W116" i="118"/>
  <c r="V116" i="118"/>
  <c r="U116" i="118"/>
  <c r="T116" i="118"/>
  <c r="AC115" i="118"/>
  <c r="AB115" i="118"/>
  <c r="AA115" i="118"/>
  <c r="Z115" i="118"/>
  <c r="Y115" i="118"/>
  <c r="X115" i="118"/>
  <c r="W115" i="118"/>
  <c r="V115" i="118"/>
  <c r="U115" i="118"/>
  <c r="T115" i="118"/>
  <c r="AC114" i="118"/>
  <c r="AB114" i="118"/>
  <c r="AA114" i="118"/>
  <c r="Z114" i="118"/>
  <c r="Y114" i="118"/>
  <c r="X114" i="118"/>
  <c r="W114" i="118"/>
  <c r="V114" i="118"/>
  <c r="U114" i="118"/>
  <c r="T114" i="118"/>
  <c r="AC113" i="118"/>
  <c r="AB113" i="118"/>
  <c r="AA113" i="118"/>
  <c r="Z113" i="118"/>
  <c r="Y113" i="118"/>
  <c r="X113" i="118"/>
  <c r="W113" i="118"/>
  <c r="V113" i="118"/>
  <c r="U113" i="118"/>
  <c r="T113" i="118"/>
  <c r="AC112" i="118"/>
  <c r="AB112" i="118"/>
  <c r="AA112" i="118"/>
  <c r="Z112" i="118"/>
  <c r="Y112" i="118"/>
  <c r="X112" i="118"/>
  <c r="W112" i="118"/>
  <c r="V112" i="118"/>
  <c r="U112" i="118"/>
  <c r="T112" i="118"/>
  <c r="AC111" i="118"/>
  <c r="AB111" i="118"/>
  <c r="AA111" i="118"/>
  <c r="Z111" i="118"/>
  <c r="Y111" i="118"/>
  <c r="X111" i="118"/>
  <c r="W111" i="118"/>
  <c r="V111" i="118"/>
  <c r="U111" i="118"/>
  <c r="T111" i="118"/>
  <c r="AC110" i="118"/>
  <c r="AB110" i="118"/>
  <c r="AA110" i="118"/>
  <c r="Z110" i="118"/>
  <c r="Y110" i="118"/>
  <c r="X110" i="118"/>
  <c r="W110" i="118"/>
  <c r="V110" i="118"/>
  <c r="U110" i="118"/>
  <c r="T110" i="118"/>
  <c r="AC109" i="118"/>
  <c r="AB109" i="118"/>
  <c r="AA109" i="118"/>
  <c r="Z109" i="118"/>
  <c r="Y109" i="118"/>
  <c r="X109" i="118"/>
  <c r="W109" i="118"/>
  <c r="V109" i="118"/>
  <c r="U109" i="118"/>
  <c r="T109" i="118"/>
  <c r="AC108" i="118"/>
  <c r="AB108" i="118"/>
  <c r="AA108" i="118"/>
  <c r="Z108" i="118"/>
  <c r="Y108" i="118"/>
  <c r="X108" i="118"/>
  <c r="W108" i="118"/>
  <c r="V108" i="118"/>
  <c r="U108" i="118"/>
  <c r="T108" i="118"/>
  <c r="AC107" i="118"/>
  <c r="AB107" i="118"/>
  <c r="AA107" i="118"/>
  <c r="Z107" i="118"/>
  <c r="Y107" i="118"/>
  <c r="X107" i="118"/>
  <c r="W107" i="118"/>
  <c r="V107" i="118"/>
  <c r="U107" i="118"/>
  <c r="T107" i="118"/>
  <c r="AC106" i="118"/>
  <c r="AB106" i="118"/>
  <c r="AA106" i="118"/>
  <c r="Z106" i="118"/>
  <c r="Y106" i="118"/>
  <c r="X106" i="118"/>
  <c r="W106" i="118"/>
  <c r="V106" i="118"/>
  <c r="U106" i="118"/>
  <c r="T106" i="118"/>
  <c r="AC105" i="118"/>
  <c r="AB105" i="118"/>
  <c r="AA105" i="118"/>
  <c r="Z105" i="118"/>
  <c r="Y105" i="118"/>
  <c r="X105" i="118"/>
  <c r="W105" i="118"/>
  <c r="V105" i="118"/>
  <c r="U105" i="118"/>
  <c r="T105" i="118"/>
  <c r="AC104" i="118"/>
  <c r="AB104" i="118"/>
  <c r="AA104" i="118"/>
  <c r="Z104" i="118"/>
  <c r="Y104" i="118"/>
  <c r="X104" i="118"/>
  <c r="W104" i="118"/>
  <c r="V104" i="118"/>
  <c r="U104" i="118"/>
  <c r="T104" i="118"/>
  <c r="AC103" i="118"/>
  <c r="AB103" i="118"/>
  <c r="AA103" i="118"/>
  <c r="Z103" i="118"/>
  <c r="Y103" i="118"/>
  <c r="X103" i="118"/>
  <c r="W103" i="118"/>
  <c r="V103" i="118"/>
  <c r="U103" i="118"/>
  <c r="T103" i="118"/>
  <c r="AC102" i="118"/>
  <c r="AB102" i="118"/>
  <c r="AA102" i="118"/>
  <c r="Z102" i="118"/>
  <c r="Y102" i="118"/>
  <c r="X102" i="118"/>
  <c r="W102" i="118"/>
  <c r="V102" i="118"/>
  <c r="U102" i="118"/>
  <c r="T102" i="118"/>
  <c r="AC101" i="118"/>
  <c r="AB101" i="118"/>
  <c r="AA101" i="118"/>
  <c r="Z101" i="118"/>
  <c r="Y101" i="118"/>
  <c r="X101" i="118"/>
  <c r="W101" i="118"/>
  <c r="V101" i="118"/>
  <c r="U101" i="118"/>
  <c r="T101" i="118"/>
  <c r="AC100" i="118"/>
  <c r="AB100" i="118"/>
  <c r="AA100" i="118"/>
  <c r="Z100" i="118"/>
  <c r="Y100" i="118"/>
  <c r="X100" i="118"/>
  <c r="W100" i="118"/>
  <c r="V100" i="118"/>
  <c r="U100" i="118"/>
  <c r="T100" i="118"/>
  <c r="AC99" i="118"/>
  <c r="AB99" i="118"/>
  <c r="AA99" i="118"/>
  <c r="Z99" i="118"/>
  <c r="Y99" i="118"/>
  <c r="X99" i="118"/>
  <c r="W99" i="118"/>
  <c r="V99" i="118"/>
  <c r="U99" i="118"/>
  <c r="T99" i="118"/>
  <c r="AC98" i="118"/>
  <c r="AB98" i="118"/>
  <c r="AA98" i="118"/>
  <c r="Z98" i="118"/>
  <c r="Y98" i="118"/>
  <c r="X98" i="118"/>
  <c r="W98" i="118"/>
  <c r="V98" i="118"/>
  <c r="U98" i="118"/>
  <c r="T98" i="118"/>
  <c r="AC97" i="118"/>
  <c r="AB97" i="118"/>
  <c r="AA97" i="118"/>
  <c r="Z97" i="118"/>
  <c r="Y97" i="118"/>
  <c r="X97" i="118"/>
  <c r="W97" i="118"/>
  <c r="V97" i="118"/>
  <c r="U97" i="118"/>
  <c r="T97" i="118"/>
  <c r="AC96" i="118"/>
  <c r="AB96" i="118"/>
  <c r="AA96" i="118"/>
  <c r="Z96" i="118"/>
  <c r="Y96" i="118"/>
  <c r="X96" i="118"/>
  <c r="W96" i="118"/>
  <c r="V96" i="118"/>
  <c r="U96" i="118"/>
  <c r="T96" i="118"/>
  <c r="AC95" i="118"/>
  <c r="AB95" i="118"/>
  <c r="AA95" i="118"/>
  <c r="Z95" i="118"/>
  <c r="Y95" i="118"/>
  <c r="X95" i="118"/>
  <c r="W95" i="118"/>
  <c r="V95" i="118"/>
  <c r="U95" i="118"/>
  <c r="T95" i="118"/>
  <c r="AC94" i="118"/>
  <c r="AB94" i="118"/>
  <c r="AA94" i="118"/>
  <c r="Z94" i="118"/>
  <c r="Y94" i="118"/>
  <c r="X94" i="118"/>
  <c r="W94" i="118"/>
  <c r="V94" i="118"/>
  <c r="U94" i="118"/>
  <c r="T94" i="118"/>
  <c r="AC91" i="118"/>
  <c r="AB91" i="118"/>
  <c r="AA91" i="118"/>
  <c r="Z91" i="118"/>
  <c r="Y91" i="118"/>
  <c r="X91" i="118"/>
  <c r="W91" i="118"/>
  <c r="V91" i="118"/>
  <c r="U91" i="118"/>
  <c r="T91" i="118"/>
  <c r="AC90" i="118"/>
  <c r="AB90" i="118"/>
  <c r="AA90" i="118"/>
  <c r="Z90" i="118"/>
  <c r="Y90" i="118"/>
  <c r="X90" i="118"/>
  <c r="W90" i="118"/>
  <c r="V90" i="118"/>
  <c r="U90" i="118"/>
  <c r="T90" i="118"/>
  <c r="AC89" i="118"/>
  <c r="AB89" i="118"/>
  <c r="AA89" i="118"/>
  <c r="Z89" i="118"/>
  <c r="Y89" i="118"/>
  <c r="X89" i="118"/>
  <c r="W89" i="118"/>
  <c r="V89" i="118"/>
  <c r="U89" i="118"/>
  <c r="T89" i="118"/>
  <c r="AC88" i="118"/>
  <c r="AB88" i="118"/>
  <c r="AA88" i="118"/>
  <c r="Z88" i="118"/>
  <c r="Y88" i="118"/>
  <c r="X88" i="118"/>
  <c r="W88" i="118"/>
  <c r="V88" i="118"/>
  <c r="U88" i="118"/>
  <c r="T88" i="118"/>
  <c r="AC87" i="118"/>
  <c r="AB87" i="118"/>
  <c r="AA87" i="118"/>
  <c r="Z87" i="118"/>
  <c r="Y87" i="118"/>
  <c r="X87" i="118"/>
  <c r="W87" i="118"/>
  <c r="V87" i="118"/>
  <c r="U87" i="118"/>
  <c r="T87" i="118"/>
  <c r="AC86" i="118"/>
  <c r="AB86" i="118"/>
  <c r="AA86" i="118"/>
  <c r="Z86" i="118"/>
  <c r="Y86" i="118"/>
  <c r="X86" i="118"/>
  <c r="W86" i="118"/>
  <c r="V86" i="118"/>
  <c r="U86" i="118"/>
  <c r="T86" i="118"/>
  <c r="AC85" i="118"/>
  <c r="AB85" i="118"/>
  <c r="AA85" i="118"/>
  <c r="Z85" i="118"/>
  <c r="Y85" i="118"/>
  <c r="X85" i="118"/>
  <c r="W85" i="118"/>
  <c r="V85" i="118"/>
  <c r="U85" i="118"/>
  <c r="T85" i="118"/>
  <c r="AC84" i="118"/>
  <c r="AB84" i="118"/>
  <c r="AA84" i="118"/>
  <c r="Z84" i="118"/>
  <c r="Y84" i="118"/>
  <c r="X84" i="118"/>
  <c r="W84" i="118"/>
  <c r="V84" i="118"/>
  <c r="U84" i="118"/>
  <c r="T84" i="118"/>
  <c r="AC83" i="118"/>
  <c r="AB83" i="118"/>
  <c r="AA83" i="118"/>
  <c r="Z83" i="118"/>
  <c r="Y83" i="118"/>
  <c r="X83" i="118"/>
  <c r="W83" i="118"/>
  <c r="V83" i="118"/>
  <c r="U83" i="118"/>
  <c r="T83" i="118"/>
  <c r="AC82" i="118"/>
  <c r="AB82" i="118"/>
  <c r="AA82" i="118"/>
  <c r="Z82" i="118"/>
  <c r="Y82" i="118"/>
  <c r="X82" i="118"/>
  <c r="W82" i="118"/>
  <c r="V82" i="118"/>
  <c r="U82" i="118"/>
  <c r="T82" i="118"/>
  <c r="AC81" i="118"/>
  <c r="AB81" i="118"/>
  <c r="AA81" i="118"/>
  <c r="Z81" i="118"/>
  <c r="Y81" i="118"/>
  <c r="X81" i="118"/>
  <c r="W81" i="118"/>
  <c r="V81" i="118"/>
  <c r="U81" i="118"/>
  <c r="T81" i="118"/>
  <c r="AC80" i="118"/>
  <c r="AB80" i="118"/>
  <c r="AA80" i="118"/>
  <c r="Z80" i="118"/>
  <c r="Y80" i="118"/>
  <c r="X80" i="118"/>
  <c r="W80" i="118"/>
  <c r="V80" i="118"/>
  <c r="U80" i="118"/>
  <c r="T80" i="118"/>
  <c r="AC79" i="118"/>
  <c r="AB79" i="118"/>
  <c r="AA79" i="118"/>
  <c r="Z79" i="118"/>
  <c r="Y79" i="118"/>
  <c r="X79" i="118"/>
  <c r="W79" i="118"/>
  <c r="V79" i="118"/>
  <c r="U79" i="118"/>
  <c r="T79" i="118"/>
  <c r="AC78" i="118"/>
  <c r="AB78" i="118"/>
  <c r="AA78" i="118"/>
  <c r="Z78" i="118"/>
  <c r="Y78" i="118"/>
  <c r="X78" i="118"/>
  <c r="W78" i="118"/>
  <c r="V78" i="118"/>
  <c r="U78" i="118"/>
  <c r="T78" i="118"/>
  <c r="AC77" i="118"/>
  <c r="AB77" i="118"/>
  <c r="AA77" i="118"/>
  <c r="Z77" i="118"/>
  <c r="Y77" i="118"/>
  <c r="X77" i="118"/>
  <c r="W77" i="118"/>
  <c r="V77" i="118"/>
  <c r="U77" i="118"/>
  <c r="T77" i="118"/>
  <c r="AC76" i="118"/>
  <c r="AB76" i="118"/>
  <c r="AA76" i="118"/>
  <c r="Z76" i="118"/>
  <c r="Y76" i="118"/>
  <c r="X76" i="118"/>
  <c r="W76" i="118"/>
  <c r="V76" i="118"/>
  <c r="U76" i="118"/>
  <c r="T76" i="118"/>
  <c r="AC75" i="118"/>
  <c r="AB75" i="118"/>
  <c r="AA75" i="118"/>
  <c r="Z75" i="118"/>
  <c r="Y75" i="118"/>
  <c r="X75" i="118"/>
  <c r="W75" i="118"/>
  <c r="V75" i="118"/>
  <c r="U75" i="118"/>
  <c r="T75" i="118"/>
  <c r="AC74" i="118"/>
  <c r="AB74" i="118"/>
  <c r="AA74" i="118"/>
  <c r="Z74" i="118"/>
  <c r="Y74" i="118"/>
  <c r="X74" i="118"/>
  <c r="W74" i="118"/>
  <c r="V74" i="118"/>
  <c r="U74" i="118"/>
  <c r="T74" i="118"/>
  <c r="AC73" i="118"/>
  <c r="AB73" i="118"/>
  <c r="AA73" i="118"/>
  <c r="Z73" i="118"/>
  <c r="Y73" i="118"/>
  <c r="X73" i="118"/>
  <c r="W73" i="118"/>
  <c r="V73" i="118"/>
  <c r="U73" i="118"/>
  <c r="T73" i="118"/>
  <c r="AC72" i="118"/>
  <c r="AB72" i="118"/>
  <c r="AA72" i="118"/>
  <c r="Z72" i="118"/>
  <c r="Y72" i="118"/>
  <c r="X72" i="118"/>
  <c r="W72" i="118"/>
  <c r="V72" i="118"/>
  <c r="U72" i="118"/>
  <c r="T72" i="118"/>
  <c r="AC71" i="118"/>
  <c r="AB71" i="118"/>
  <c r="AA71" i="118"/>
  <c r="Z71" i="118"/>
  <c r="Y71" i="118"/>
  <c r="X71" i="118"/>
  <c r="W71" i="118"/>
  <c r="V71" i="118"/>
  <c r="U71" i="118"/>
  <c r="T71" i="118"/>
  <c r="AC70" i="118"/>
  <c r="AB70" i="118"/>
  <c r="AA70" i="118"/>
  <c r="Z70" i="118"/>
  <c r="Y70" i="118"/>
  <c r="X70" i="118"/>
  <c r="W70" i="118"/>
  <c r="V70" i="118"/>
  <c r="U70" i="118"/>
  <c r="T70" i="118"/>
  <c r="AC69" i="118"/>
  <c r="AB69" i="118"/>
  <c r="AA69" i="118"/>
  <c r="Z69" i="118"/>
  <c r="Y69" i="118"/>
  <c r="X69" i="118"/>
  <c r="W69" i="118"/>
  <c r="V69" i="118"/>
  <c r="U69" i="118"/>
  <c r="T69" i="118"/>
  <c r="AC68" i="118"/>
  <c r="AB68" i="118"/>
  <c r="AA68" i="118"/>
  <c r="Z68" i="118"/>
  <c r="Y68" i="118"/>
  <c r="X68" i="118"/>
  <c r="W68" i="118"/>
  <c r="V68" i="118"/>
  <c r="U68" i="118"/>
  <c r="T68" i="118"/>
  <c r="AC67" i="118"/>
  <c r="AB67" i="118"/>
  <c r="AA67" i="118"/>
  <c r="Z67" i="118"/>
  <c r="Y67" i="118"/>
  <c r="X67" i="118"/>
  <c r="W67" i="118"/>
  <c r="V67" i="118"/>
  <c r="U67" i="118"/>
  <c r="T67" i="118"/>
  <c r="AC66" i="118"/>
  <c r="AB66" i="118"/>
  <c r="AA66" i="118"/>
  <c r="Z66" i="118"/>
  <c r="Y66" i="118"/>
  <c r="X66" i="118"/>
  <c r="W66" i="118"/>
  <c r="V66" i="118"/>
  <c r="U66" i="118"/>
  <c r="T66" i="118"/>
  <c r="AC65" i="118"/>
  <c r="AB65" i="118"/>
  <c r="AA65" i="118"/>
  <c r="Z65" i="118"/>
  <c r="Y65" i="118"/>
  <c r="X65" i="118"/>
  <c r="W65" i="118"/>
  <c r="V65" i="118"/>
  <c r="U65" i="118"/>
  <c r="T65" i="118"/>
  <c r="AC64" i="118"/>
  <c r="AB64" i="118"/>
  <c r="AA64" i="118"/>
  <c r="Z64" i="118"/>
  <c r="Y64" i="118"/>
  <c r="X64" i="118"/>
  <c r="W64" i="118"/>
  <c r="V64" i="118"/>
  <c r="U64" i="118"/>
  <c r="T64" i="118"/>
  <c r="AC63" i="118"/>
  <c r="AB63" i="118"/>
  <c r="AA63" i="118"/>
  <c r="Z63" i="118"/>
  <c r="Y63" i="118"/>
  <c r="X63" i="118"/>
  <c r="W63" i="118"/>
  <c r="V63" i="118"/>
  <c r="U63" i="118"/>
  <c r="T63" i="118"/>
  <c r="AC62" i="118"/>
  <c r="AB62" i="118"/>
  <c r="AA62" i="118"/>
  <c r="Z62" i="118"/>
  <c r="Y62" i="118"/>
  <c r="X62" i="118"/>
  <c r="W62" i="118"/>
  <c r="V62" i="118"/>
  <c r="U62" i="118"/>
  <c r="T62" i="118"/>
  <c r="AC61" i="118"/>
  <c r="AB61" i="118"/>
  <c r="AA61" i="118"/>
  <c r="Z61" i="118"/>
  <c r="Y61" i="118"/>
  <c r="X61" i="118"/>
  <c r="W61" i="118"/>
  <c r="V61" i="118"/>
  <c r="U61" i="118"/>
  <c r="T61" i="118"/>
  <c r="AC60" i="118"/>
  <c r="AB60" i="118"/>
  <c r="AA60" i="118"/>
  <c r="Z60" i="118"/>
  <c r="Y60" i="118"/>
  <c r="X60" i="118"/>
  <c r="W60" i="118"/>
  <c r="V60" i="118"/>
  <c r="U60" i="118"/>
  <c r="T60" i="118"/>
  <c r="AC59" i="118"/>
  <c r="AB59" i="118"/>
  <c r="AA59" i="118"/>
  <c r="Z59" i="118"/>
  <c r="Y59" i="118"/>
  <c r="X59" i="118"/>
  <c r="W59" i="118"/>
  <c r="V59" i="118"/>
  <c r="U59" i="118"/>
  <c r="T59" i="118"/>
  <c r="AC58" i="118"/>
  <c r="AB58" i="118"/>
  <c r="AA58" i="118"/>
  <c r="Z58" i="118"/>
  <c r="Y58" i="118"/>
  <c r="X58" i="118"/>
  <c r="W58" i="118"/>
  <c r="V58" i="118"/>
  <c r="U58" i="118"/>
  <c r="T58" i="118"/>
  <c r="AC57" i="118"/>
  <c r="AB57" i="118"/>
  <c r="AA57" i="118"/>
  <c r="Z57" i="118"/>
  <c r="Y57" i="118"/>
  <c r="X57" i="118"/>
  <c r="W57" i="118"/>
  <c r="V57" i="118"/>
  <c r="U57" i="118"/>
  <c r="T57" i="118"/>
  <c r="AC56" i="118"/>
  <c r="AB56" i="118"/>
  <c r="AA56" i="118"/>
  <c r="Z56" i="118"/>
  <c r="Y56" i="118"/>
  <c r="X56" i="118"/>
  <c r="W56" i="118"/>
  <c r="V56" i="118"/>
  <c r="U56" i="118"/>
  <c r="T56" i="118"/>
  <c r="AC55" i="118"/>
  <c r="AB55" i="118"/>
  <c r="AA55" i="118"/>
  <c r="Z55" i="118"/>
  <c r="Y55" i="118"/>
  <c r="X55" i="118"/>
  <c r="W55" i="118"/>
  <c r="V55" i="118"/>
  <c r="U55" i="118"/>
  <c r="T55" i="118"/>
  <c r="AC54" i="118"/>
  <c r="AB54" i="118"/>
  <c r="AA54" i="118"/>
  <c r="Z54" i="118"/>
  <c r="Y54" i="118"/>
  <c r="X54" i="118"/>
  <c r="W54" i="118"/>
  <c r="V54" i="118"/>
  <c r="U54" i="118"/>
  <c r="T54" i="118"/>
  <c r="AC53" i="118"/>
  <c r="AB53" i="118"/>
  <c r="AA53" i="118"/>
  <c r="Z53" i="118"/>
  <c r="Y53" i="118"/>
  <c r="X53" i="118"/>
  <c r="W53" i="118"/>
  <c r="V53" i="118"/>
  <c r="U53" i="118"/>
  <c r="T53" i="118"/>
  <c r="AC52" i="118"/>
  <c r="AB52" i="118"/>
  <c r="AA52" i="118"/>
  <c r="Z52" i="118"/>
  <c r="Y52" i="118"/>
  <c r="X52" i="118"/>
  <c r="W52" i="118"/>
  <c r="V52" i="118"/>
  <c r="U52" i="118"/>
  <c r="T52" i="118"/>
  <c r="AC51" i="118"/>
  <c r="AB51" i="118"/>
  <c r="AA51" i="118"/>
  <c r="Z51" i="118"/>
  <c r="Y51" i="118"/>
  <c r="X51" i="118"/>
  <c r="W51" i="118"/>
  <c r="V51" i="118"/>
  <c r="U51" i="118"/>
  <c r="T51" i="118"/>
  <c r="AC50" i="118"/>
  <c r="AB50" i="118"/>
  <c r="AA50" i="118"/>
  <c r="Z50" i="118"/>
  <c r="Y50" i="118"/>
  <c r="X50" i="118"/>
  <c r="W50" i="118"/>
  <c r="V50" i="118"/>
  <c r="U50" i="118"/>
  <c r="T50" i="118"/>
  <c r="AC49" i="118"/>
  <c r="AB49" i="118"/>
  <c r="AA49" i="118"/>
  <c r="Z49" i="118"/>
  <c r="Y49" i="118"/>
  <c r="X49" i="118"/>
  <c r="W49" i="118"/>
  <c r="V49" i="118"/>
  <c r="U49" i="118"/>
  <c r="T49" i="118"/>
  <c r="AC48" i="118"/>
  <c r="AB48" i="118"/>
  <c r="AA48" i="118"/>
  <c r="Z48" i="118"/>
  <c r="Y48" i="118"/>
  <c r="X48" i="118"/>
  <c r="W48" i="118"/>
  <c r="V48" i="118"/>
  <c r="U48" i="118"/>
  <c r="T48" i="118"/>
  <c r="AC47" i="118"/>
  <c r="AB47" i="118"/>
  <c r="AA47" i="118"/>
  <c r="Z47" i="118"/>
  <c r="Y47" i="118"/>
  <c r="X47" i="118"/>
  <c r="W47" i="118"/>
  <c r="V47" i="118"/>
  <c r="U47" i="118"/>
  <c r="T47" i="118"/>
  <c r="AC46" i="118"/>
  <c r="AB46" i="118"/>
  <c r="AA46" i="118"/>
  <c r="Z46" i="118"/>
  <c r="Y46" i="118"/>
  <c r="X46" i="118"/>
  <c r="W46" i="118"/>
  <c r="V46" i="118"/>
  <c r="U46" i="118"/>
  <c r="T46" i="118"/>
  <c r="T35" i="118"/>
  <c r="P35" i="118"/>
  <c r="AN23" i="118"/>
  <c r="U23" i="118"/>
  <c r="AN22" i="118"/>
  <c r="AN16" i="118"/>
  <c r="AN15" i="118"/>
  <c r="AN14" i="118"/>
  <c r="AN13" i="118"/>
  <c r="AN12" i="118"/>
  <c r="AN11" i="118"/>
  <c r="AN10" i="118"/>
  <c r="AN9" i="118"/>
  <c r="AN8" i="118"/>
  <c r="AN7" i="118"/>
  <c r="H174" i="117"/>
  <c r="W23" i="117"/>
  <c r="H173" i="117"/>
  <c r="W22" i="117"/>
  <c r="AC139" i="117"/>
  <c r="AB139" i="117"/>
  <c r="AA139" i="117"/>
  <c r="Z139" i="117"/>
  <c r="Y139" i="117"/>
  <c r="X139" i="117"/>
  <c r="W139" i="117"/>
  <c r="V139" i="117"/>
  <c r="U139" i="117"/>
  <c r="AC138" i="117"/>
  <c r="AB138" i="117"/>
  <c r="AA138" i="117"/>
  <c r="Z138" i="117"/>
  <c r="Y138" i="117"/>
  <c r="X138" i="117"/>
  <c r="W138" i="117"/>
  <c r="V138" i="117"/>
  <c r="U138" i="117"/>
  <c r="T138" i="117"/>
  <c r="AC137" i="117"/>
  <c r="AB137" i="117"/>
  <c r="AA137" i="117"/>
  <c r="Z137" i="117"/>
  <c r="Y137" i="117"/>
  <c r="X137" i="117"/>
  <c r="W137" i="117"/>
  <c r="V137" i="117"/>
  <c r="U137" i="117"/>
  <c r="T137" i="117"/>
  <c r="AC136" i="117"/>
  <c r="AB136" i="117"/>
  <c r="AA136" i="117"/>
  <c r="Z136" i="117"/>
  <c r="Y136" i="117"/>
  <c r="X136" i="117"/>
  <c r="W136" i="117"/>
  <c r="V136" i="117"/>
  <c r="U136" i="117"/>
  <c r="T136" i="117"/>
  <c r="AC135" i="117"/>
  <c r="AB135" i="117"/>
  <c r="AA135" i="117"/>
  <c r="Z135" i="117"/>
  <c r="Y135" i="117"/>
  <c r="X135" i="117"/>
  <c r="W135" i="117"/>
  <c r="V135" i="117"/>
  <c r="U135" i="117"/>
  <c r="T135" i="117"/>
  <c r="AC134" i="117"/>
  <c r="AB134" i="117"/>
  <c r="AA134" i="117"/>
  <c r="Z134" i="117"/>
  <c r="Y134" i="117"/>
  <c r="X134" i="117"/>
  <c r="W134" i="117"/>
  <c r="V134" i="117"/>
  <c r="U134" i="117"/>
  <c r="T134" i="117"/>
  <c r="AC133" i="117"/>
  <c r="AB133" i="117"/>
  <c r="AA133" i="117"/>
  <c r="Z133" i="117"/>
  <c r="Y133" i="117"/>
  <c r="X133" i="117"/>
  <c r="W133" i="117"/>
  <c r="V133" i="117"/>
  <c r="U133" i="117"/>
  <c r="T133" i="117"/>
  <c r="AC132" i="117"/>
  <c r="AB132" i="117"/>
  <c r="AA132" i="117"/>
  <c r="Z132" i="117"/>
  <c r="Y132" i="117"/>
  <c r="X132" i="117"/>
  <c r="W132" i="117"/>
  <c r="V132" i="117"/>
  <c r="U132" i="117"/>
  <c r="T132" i="117"/>
  <c r="AC131" i="117"/>
  <c r="AB131" i="117"/>
  <c r="AA131" i="117"/>
  <c r="Z131" i="117"/>
  <c r="Y131" i="117"/>
  <c r="X131" i="117"/>
  <c r="W131" i="117"/>
  <c r="V131" i="117"/>
  <c r="U131" i="117"/>
  <c r="T131" i="117"/>
  <c r="AC130" i="117"/>
  <c r="AB130" i="117"/>
  <c r="AA130" i="117"/>
  <c r="Z130" i="117"/>
  <c r="Y130" i="117"/>
  <c r="X130" i="117"/>
  <c r="W130" i="117"/>
  <c r="V130" i="117"/>
  <c r="U130" i="117"/>
  <c r="T130" i="117"/>
  <c r="AC129" i="117"/>
  <c r="AB129" i="117"/>
  <c r="AA129" i="117"/>
  <c r="Z129" i="117"/>
  <c r="Y129" i="117"/>
  <c r="X129" i="117"/>
  <c r="W129" i="117"/>
  <c r="V129" i="117"/>
  <c r="U129" i="117"/>
  <c r="T129" i="117"/>
  <c r="AC128" i="117"/>
  <c r="AB128" i="117"/>
  <c r="AA128" i="117"/>
  <c r="Z128" i="117"/>
  <c r="Y128" i="117"/>
  <c r="X128" i="117"/>
  <c r="W128" i="117"/>
  <c r="V128" i="117"/>
  <c r="U128" i="117"/>
  <c r="T128" i="117"/>
  <c r="AC127" i="117"/>
  <c r="AB127" i="117"/>
  <c r="AA127" i="117"/>
  <c r="Z127" i="117"/>
  <c r="Y127" i="117"/>
  <c r="X127" i="117"/>
  <c r="W127" i="117"/>
  <c r="V127" i="117"/>
  <c r="U127" i="117"/>
  <c r="T127" i="117"/>
  <c r="AC126" i="117"/>
  <c r="AB126" i="117"/>
  <c r="AA126" i="117"/>
  <c r="Z126" i="117"/>
  <c r="Y126" i="117"/>
  <c r="X126" i="117"/>
  <c r="W126" i="117"/>
  <c r="V126" i="117"/>
  <c r="U126" i="117"/>
  <c r="T126" i="117"/>
  <c r="AC125" i="117"/>
  <c r="AB125" i="117"/>
  <c r="AA125" i="117"/>
  <c r="Z125" i="117"/>
  <c r="Y125" i="117"/>
  <c r="X125" i="117"/>
  <c r="W125" i="117"/>
  <c r="V125" i="117"/>
  <c r="U125" i="117"/>
  <c r="T125" i="117"/>
  <c r="AC124" i="117"/>
  <c r="AB124" i="117"/>
  <c r="AA124" i="117"/>
  <c r="Z124" i="117"/>
  <c r="Y124" i="117"/>
  <c r="X124" i="117"/>
  <c r="W124" i="117"/>
  <c r="V124" i="117"/>
  <c r="U124" i="117"/>
  <c r="T124" i="117"/>
  <c r="AC123" i="117"/>
  <c r="AB123" i="117"/>
  <c r="AA123" i="117"/>
  <c r="Z123" i="117"/>
  <c r="Y123" i="117"/>
  <c r="X123" i="117"/>
  <c r="W123" i="117"/>
  <c r="V123" i="117"/>
  <c r="U123" i="117"/>
  <c r="T123" i="117"/>
  <c r="AC122" i="117"/>
  <c r="AB122" i="117"/>
  <c r="AA122" i="117"/>
  <c r="Z122" i="117"/>
  <c r="Y122" i="117"/>
  <c r="X122" i="117"/>
  <c r="W122" i="117"/>
  <c r="V122" i="117"/>
  <c r="U122" i="117"/>
  <c r="T122" i="117"/>
  <c r="AC121" i="117"/>
  <c r="AB121" i="117"/>
  <c r="AA121" i="117"/>
  <c r="Z121" i="117"/>
  <c r="Y121" i="117"/>
  <c r="X121" i="117"/>
  <c r="W121" i="117"/>
  <c r="V121" i="117"/>
  <c r="U121" i="117"/>
  <c r="T121" i="117"/>
  <c r="AC120" i="117"/>
  <c r="AB120" i="117"/>
  <c r="AA120" i="117"/>
  <c r="Z120" i="117"/>
  <c r="Y120" i="117"/>
  <c r="X120" i="117"/>
  <c r="W120" i="117"/>
  <c r="V120" i="117"/>
  <c r="U120" i="117"/>
  <c r="T120" i="117"/>
  <c r="AC119" i="117"/>
  <c r="AB119" i="117"/>
  <c r="AA119" i="117"/>
  <c r="Z119" i="117"/>
  <c r="Y119" i="117"/>
  <c r="X119" i="117"/>
  <c r="W119" i="117"/>
  <c r="V119" i="117"/>
  <c r="U119" i="117"/>
  <c r="T119" i="117"/>
  <c r="AC118" i="117"/>
  <c r="AB118" i="117"/>
  <c r="AA118" i="117"/>
  <c r="Z118" i="117"/>
  <c r="Y118" i="117"/>
  <c r="X118" i="117"/>
  <c r="W118" i="117"/>
  <c r="V118" i="117"/>
  <c r="U118" i="117"/>
  <c r="T118" i="117"/>
  <c r="AC117" i="117"/>
  <c r="AB117" i="117"/>
  <c r="AA117" i="117"/>
  <c r="Z117" i="117"/>
  <c r="Y117" i="117"/>
  <c r="X117" i="117"/>
  <c r="W117" i="117"/>
  <c r="V117" i="117"/>
  <c r="U117" i="117"/>
  <c r="T117" i="117"/>
  <c r="AC116" i="117"/>
  <c r="AB116" i="117"/>
  <c r="AA116" i="117"/>
  <c r="Z116" i="117"/>
  <c r="Y116" i="117"/>
  <c r="X116" i="117"/>
  <c r="W116" i="117"/>
  <c r="V116" i="117"/>
  <c r="U116" i="117"/>
  <c r="T116" i="117"/>
  <c r="AC115" i="117"/>
  <c r="AB115" i="117"/>
  <c r="AA115" i="117"/>
  <c r="Z115" i="117"/>
  <c r="Y115" i="117"/>
  <c r="X115" i="117"/>
  <c r="W115" i="117"/>
  <c r="V115" i="117"/>
  <c r="U115" i="117"/>
  <c r="T115" i="117"/>
  <c r="AC114" i="117"/>
  <c r="AB114" i="117"/>
  <c r="AA114" i="117"/>
  <c r="Z114" i="117"/>
  <c r="Y114" i="117"/>
  <c r="X114" i="117"/>
  <c r="W114" i="117"/>
  <c r="V114" i="117"/>
  <c r="U114" i="117"/>
  <c r="T114" i="117"/>
  <c r="AC113" i="117"/>
  <c r="AB113" i="117"/>
  <c r="AA113" i="117"/>
  <c r="Z113" i="117"/>
  <c r="Y113" i="117"/>
  <c r="X113" i="117"/>
  <c r="W113" i="117"/>
  <c r="V113" i="117"/>
  <c r="U113" i="117"/>
  <c r="T113" i="117"/>
  <c r="AC112" i="117"/>
  <c r="AB112" i="117"/>
  <c r="AA112" i="117"/>
  <c r="Z112" i="117"/>
  <c r="Y112" i="117"/>
  <c r="X112" i="117"/>
  <c r="W112" i="117"/>
  <c r="V112" i="117"/>
  <c r="U112" i="117"/>
  <c r="T112" i="117"/>
  <c r="AC111" i="117"/>
  <c r="AB111" i="117"/>
  <c r="AA111" i="117"/>
  <c r="Z111" i="117"/>
  <c r="Y111" i="117"/>
  <c r="X111" i="117"/>
  <c r="W111" i="117"/>
  <c r="V111" i="117"/>
  <c r="U111" i="117"/>
  <c r="T111" i="117"/>
  <c r="AC110" i="117"/>
  <c r="AB110" i="117"/>
  <c r="AA110" i="117"/>
  <c r="Z110" i="117"/>
  <c r="Y110" i="117"/>
  <c r="X110" i="117"/>
  <c r="W110" i="117"/>
  <c r="V110" i="117"/>
  <c r="U110" i="117"/>
  <c r="T110" i="117"/>
  <c r="AC109" i="117"/>
  <c r="AB109" i="117"/>
  <c r="AA109" i="117"/>
  <c r="Z109" i="117"/>
  <c r="Y109" i="117"/>
  <c r="X109" i="117"/>
  <c r="W109" i="117"/>
  <c r="V109" i="117"/>
  <c r="U109" i="117"/>
  <c r="T109" i="117"/>
  <c r="AC108" i="117"/>
  <c r="AB108" i="117"/>
  <c r="AA108" i="117"/>
  <c r="Z108" i="117"/>
  <c r="Y108" i="117"/>
  <c r="X108" i="117"/>
  <c r="W108" i="117"/>
  <c r="V108" i="117"/>
  <c r="U108" i="117"/>
  <c r="T108" i="117"/>
  <c r="AC107" i="117"/>
  <c r="AB107" i="117"/>
  <c r="AA107" i="117"/>
  <c r="Z107" i="117"/>
  <c r="Y107" i="117"/>
  <c r="X107" i="117"/>
  <c r="W107" i="117"/>
  <c r="V107" i="117"/>
  <c r="U107" i="117"/>
  <c r="T107" i="117"/>
  <c r="AC106" i="117"/>
  <c r="AB106" i="117"/>
  <c r="AA106" i="117"/>
  <c r="Z106" i="117"/>
  <c r="Y106" i="117"/>
  <c r="X106" i="117"/>
  <c r="W106" i="117"/>
  <c r="V106" i="117"/>
  <c r="U106" i="117"/>
  <c r="T106" i="117"/>
  <c r="AC105" i="117"/>
  <c r="AB105" i="117"/>
  <c r="AA105" i="117"/>
  <c r="Z105" i="117"/>
  <c r="Y105" i="117"/>
  <c r="X105" i="117"/>
  <c r="W105" i="117"/>
  <c r="V105" i="117"/>
  <c r="U105" i="117"/>
  <c r="T105" i="117"/>
  <c r="AC104" i="117"/>
  <c r="AB104" i="117"/>
  <c r="AA104" i="117"/>
  <c r="Z104" i="117"/>
  <c r="Y104" i="117"/>
  <c r="X104" i="117"/>
  <c r="W104" i="117"/>
  <c r="V104" i="117"/>
  <c r="U104" i="117"/>
  <c r="T104" i="117"/>
  <c r="AC103" i="117"/>
  <c r="AB103" i="117"/>
  <c r="AA103" i="117"/>
  <c r="Z103" i="117"/>
  <c r="Y103" i="117"/>
  <c r="X103" i="117"/>
  <c r="W103" i="117"/>
  <c r="V103" i="117"/>
  <c r="U103" i="117"/>
  <c r="T103" i="117"/>
  <c r="AC102" i="117"/>
  <c r="AB102" i="117"/>
  <c r="AA102" i="117"/>
  <c r="Z102" i="117"/>
  <c r="Y102" i="117"/>
  <c r="X102" i="117"/>
  <c r="W102" i="117"/>
  <c r="V102" i="117"/>
  <c r="U102" i="117"/>
  <c r="T102" i="117"/>
  <c r="AC101" i="117"/>
  <c r="AB101" i="117"/>
  <c r="AA101" i="117"/>
  <c r="Z101" i="117"/>
  <c r="Y101" i="117"/>
  <c r="X101" i="117"/>
  <c r="W101" i="117"/>
  <c r="V101" i="117"/>
  <c r="U101" i="117"/>
  <c r="T101" i="117"/>
  <c r="AC100" i="117"/>
  <c r="AB100" i="117"/>
  <c r="AA100" i="117"/>
  <c r="Z100" i="117"/>
  <c r="Y100" i="117"/>
  <c r="X100" i="117"/>
  <c r="W100" i="117"/>
  <c r="V100" i="117"/>
  <c r="U100" i="117"/>
  <c r="T100" i="117"/>
  <c r="AC99" i="117"/>
  <c r="AB99" i="117"/>
  <c r="AA99" i="117"/>
  <c r="Z99" i="117"/>
  <c r="Y99" i="117"/>
  <c r="X99" i="117"/>
  <c r="W99" i="117"/>
  <c r="V99" i="117"/>
  <c r="U99" i="117"/>
  <c r="T99" i="117"/>
  <c r="AC98" i="117"/>
  <c r="AB98" i="117"/>
  <c r="AA98" i="117"/>
  <c r="Z98" i="117"/>
  <c r="Y98" i="117"/>
  <c r="X98" i="117"/>
  <c r="W98" i="117"/>
  <c r="V98" i="117"/>
  <c r="U98" i="117"/>
  <c r="T98" i="117"/>
  <c r="AC97" i="117"/>
  <c r="AB97" i="117"/>
  <c r="AA97" i="117"/>
  <c r="Z97" i="117"/>
  <c r="Y97" i="117"/>
  <c r="X97" i="117"/>
  <c r="W97" i="117"/>
  <c r="V97" i="117"/>
  <c r="U97" i="117"/>
  <c r="T97" i="117"/>
  <c r="AC96" i="117"/>
  <c r="AB96" i="117"/>
  <c r="AA96" i="117"/>
  <c r="Z96" i="117"/>
  <c r="Y96" i="117"/>
  <c r="X96" i="117"/>
  <c r="W96" i="117"/>
  <c r="V96" i="117"/>
  <c r="U96" i="117"/>
  <c r="T96" i="117"/>
  <c r="AC95" i="117"/>
  <c r="AB95" i="117"/>
  <c r="AA95" i="117"/>
  <c r="Z95" i="117"/>
  <c r="Y95" i="117"/>
  <c r="X95" i="117"/>
  <c r="W95" i="117"/>
  <c r="V95" i="117"/>
  <c r="U95" i="117"/>
  <c r="T95" i="117"/>
  <c r="AC94" i="117"/>
  <c r="AB94" i="117"/>
  <c r="AA94" i="117"/>
  <c r="Z94" i="117"/>
  <c r="Y94" i="117"/>
  <c r="X94" i="117"/>
  <c r="W94" i="117"/>
  <c r="V94" i="117"/>
  <c r="U94" i="117"/>
  <c r="T94" i="117"/>
  <c r="AC91" i="117"/>
  <c r="AB91" i="117"/>
  <c r="AA91" i="117"/>
  <c r="Z91" i="117"/>
  <c r="Y91" i="117"/>
  <c r="X91" i="117"/>
  <c r="W91" i="117"/>
  <c r="V91" i="117"/>
  <c r="U91" i="117"/>
  <c r="T91" i="117"/>
  <c r="AC90" i="117"/>
  <c r="AB90" i="117"/>
  <c r="AA90" i="117"/>
  <c r="Z90" i="117"/>
  <c r="Y90" i="117"/>
  <c r="X90" i="117"/>
  <c r="W90" i="117"/>
  <c r="V90" i="117"/>
  <c r="U90" i="117"/>
  <c r="T90" i="117"/>
  <c r="AC89" i="117"/>
  <c r="AB89" i="117"/>
  <c r="AA89" i="117"/>
  <c r="Z89" i="117"/>
  <c r="Y89" i="117"/>
  <c r="X89" i="117"/>
  <c r="W89" i="117"/>
  <c r="V89" i="117"/>
  <c r="U89" i="117"/>
  <c r="T89" i="117"/>
  <c r="AC88" i="117"/>
  <c r="AB88" i="117"/>
  <c r="AA88" i="117"/>
  <c r="Z88" i="117"/>
  <c r="Y88" i="117"/>
  <c r="X88" i="117"/>
  <c r="W88" i="117"/>
  <c r="V88" i="117"/>
  <c r="U88" i="117"/>
  <c r="T88" i="117"/>
  <c r="AC87" i="117"/>
  <c r="AB87" i="117"/>
  <c r="AA87" i="117"/>
  <c r="Z87" i="117"/>
  <c r="Y87" i="117"/>
  <c r="X87" i="117"/>
  <c r="W87" i="117"/>
  <c r="V87" i="117"/>
  <c r="U87" i="117"/>
  <c r="T87" i="117"/>
  <c r="AC86" i="117"/>
  <c r="AB86" i="117"/>
  <c r="AA86" i="117"/>
  <c r="Z86" i="117"/>
  <c r="Y86" i="117"/>
  <c r="X86" i="117"/>
  <c r="W86" i="117"/>
  <c r="V86" i="117"/>
  <c r="U86" i="117"/>
  <c r="T86" i="117"/>
  <c r="AC85" i="117"/>
  <c r="AB85" i="117"/>
  <c r="AA85" i="117"/>
  <c r="Z85" i="117"/>
  <c r="Y85" i="117"/>
  <c r="X85" i="117"/>
  <c r="W85" i="117"/>
  <c r="V85" i="117"/>
  <c r="U85" i="117"/>
  <c r="T85" i="117"/>
  <c r="AC84" i="117"/>
  <c r="AB84" i="117"/>
  <c r="AA84" i="117"/>
  <c r="Z84" i="117"/>
  <c r="Y84" i="117"/>
  <c r="X84" i="117"/>
  <c r="W84" i="117"/>
  <c r="V84" i="117"/>
  <c r="U84" i="117"/>
  <c r="T84" i="117"/>
  <c r="AC83" i="117"/>
  <c r="AB83" i="117"/>
  <c r="AA83" i="117"/>
  <c r="Z83" i="117"/>
  <c r="Y83" i="117"/>
  <c r="X83" i="117"/>
  <c r="W83" i="117"/>
  <c r="V83" i="117"/>
  <c r="U83" i="117"/>
  <c r="T83" i="117"/>
  <c r="AC82" i="117"/>
  <c r="AB82" i="117"/>
  <c r="AA82" i="117"/>
  <c r="Z82" i="117"/>
  <c r="Y82" i="117"/>
  <c r="X82" i="117"/>
  <c r="W82" i="117"/>
  <c r="V82" i="117"/>
  <c r="U82" i="117"/>
  <c r="T82" i="117"/>
  <c r="AC81" i="117"/>
  <c r="AB81" i="117"/>
  <c r="AA81" i="117"/>
  <c r="Z81" i="117"/>
  <c r="Y81" i="117"/>
  <c r="X81" i="117"/>
  <c r="W81" i="117"/>
  <c r="V81" i="117"/>
  <c r="U81" i="117"/>
  <c r="T81" i="117"/>
  <c r="AC80" i="117"/>
  <c r="AB80" i="117"/>
  <c r="AA80" i="117"/>
  <c r="Z80" i="117"/>
  <c r="Y80" i="117"/>
  <c r="X80" i="117"/>
  <c r="W80" i="117"/>
  <c r="V80" i="117"/>
  <c r="U80" i="117"/>
  <c r="T80" i="117"/>
  <c r="AC79" i="117"/>
  <c r="AB79" i="117"/>
  <c r="AA79" i="117"/>
  <c r="Z79" i="117"/>
  <c r="Y79" i="117"/>
  <c r="X79" i="117"/>
  <c r="W79" i="117"/>
  <c r="V79" i="117"/>
  <c r="U79" i="117"/>
  <c r="T79" i="117"/>
  <c r="AC78" i="117"/>
  <c r="AB78" i="117"/>
  <c r="AA78" i="117"/>
  <c r="Z78" i="117"/>
  <c r="Y78" i="117"/>
  <c r="X78" i="117"/>
  <c r="W78" i="117"/>
  <c r="V78" i="117"/>
  <c r="U78" i="117"/>
  <c r="T78" i="117"/>
  <c r="AC77" i="117"/>
  <c r="AB77" i="117"/>
  <c r="AA77" i="117"/>
  <c r="Z77" i="117"/>
  <c r="Y77" i="117"/>
  <c r="X77" i="117"/>
  <c r="W77" i="117"/>
  <c r="V77" i="117"/>
  <c r="U77" i="117"/>
  <c r="T77" i="117"/>
  <c r="AC76" i="117"/>
  <c r="AB76" i="117"/>
  <c r="AA76" i="117"/>
  <c r="Z76" i="117"/>
  <c r="Y76" i="117"/>
  <c r="X76" i="117"/>
  <c r="W76" i="117"/>
  <c r="V76" i="117"/>
  <c r="U76" i="117"/>
  <c r="T76" i="117"/>
  <c r="AC75" i="117"/>
  <c r="AB75" i="117"/>
  <c r="AA75" i="117"/>
  <c r="Z75" i="117"/>
  <c r="Y75" i="117"/>
  <c r="X75" i="117"/>
  <c r="W75" i="117"/>
  <c r="V75" i="117"/>
  <c r="U75" i="117"/>
  <c r="T75" i="117"/>
  <c r="AC74" i="117"/>
  <c r="AB74" i="117"/>
  <c r="AA74" i="117"/>
  <c r="Z74" i="117"/>
  <c r="Y74" i="117"/>
  <c r="X74" i="117"/>
  <c r="W74" i="117"/>
  <c r="V74" i="117"/>
  <c r="U74" i="117"/>
  <c r="T74" i="117"/>
  <c r="AC73" i="117"/>
  <c r="AB73" i="117"/>
  <c r="AA73" i="117"/>
  <c r="Z73" i="117"/>
  <c r="Y73" i="117"/>
  <c r="X73" i="117"/>
  <c r="W73" i="117"/>
  <c r="V73" i="117"/>
  <c r="U73" i="117"/>
  <c r="T73" i="117"/>
  <c r="AC72" i="117"/>
  <c r="AB72" i="117"/>
  <c r="AA72" i="117"/>
  <c r="Z72" i="117"/>
  <c r="Y72" i="117"/>
  <c r="X72" i="117"/>
  <c r="W72" i="117"/>
  <c r="V72" i="117"/>
  <c r="U72" i="117"/>
  <c r="T72" i="117"/>
  <c r="AC71" i="117"/>
  <c r="AB71" i="117"/>
  <c r="AA71" i="117"/>
  <c r="Z71" i="117"/>
  <c r="Y71" i="117"/>
  <c r="X71" i="117"/>
  <c r="W71" i="117"/>
  <c r="V71" i="117"/>
  <c r="U71" i="117"/>
  <c r="T71" i="117"/>
  <c r="AC70" i="117"/>
  <c r="AB70" i="117"/>
  <c r="AA70" i="117"/>
  <c r="Z70" i="117"/>
  <c r="Y70" i="117"/>
  <c r="X70" i="117"/>
  <c r="W70" i="117"/>
  <c r="V70" i="117"/>
  <c r="U70" i="117"/>
  <c r="T70" i="117"/>
  <c r="AC69" i="117"/>
  <c r="AB69" i="117"/>
  <c r="AA69" i="117"/>
  <c r="Z69" i="117"/>
  <c r="Y69" i="117"/>
  <c r="X69" i="117"/>
  <c r="W69" i="117"/>
  <c r="V69" i="117"/>
  <c r="U69" i="117"/>
  <c r="T69" i="117"/>
  <c r="AC68" i="117"/>
  <c r="AB68" i="117"/>
  <c r="AA68" i="117"/>
  <c r="Z68" i="117"/>
  <c r="Y68" i="117"/>
  <c r="X68" i="117"/>
  <c r="W68" i="117"/>
  <c r="V68" i="117"/>
  <c r="U68" i="117"/>
  <c r="T68" i="117"/>
  <c r="AC67" i="117"/>
  <c r="AB67" i="117"/>
  <c r="AA67" i="117"/>
  <c r="Z67" i="117"/>
  <c r="Y67" i="117"/>
  <c r="X67" i="117"/>
  <c r="W67" i="117"/>
  <c r="V67" i="117"/>
  <c r="U67" i="117"/>
  <c r="T67" i="117"/>
  <c r="AC66" i="117"/>
  <c r="AB66" i="117"/>
  <c r="AA66" i="117"/>
  <c r="Z66" i="117"/>
  <c r="Y66" i="117"/>
  <c r="X66" i="117"/>
  <c r="W66" i="117"/>
  <c r="V66" i="117"/>
  <c r="U66" i="117"/>
  <c r="T66" i="117"/>
  <c r="AC65" i="117"/>
  <c r="AB65" i="117"/>
  <c r="AA65" i="117"/>
  <c r="Z65" i="117"/>
  <c r="Y65" i="117"/>
  <c r="X65" i="117"/>
  <c r="W65" i="117"/>
  <c r="V65" i="117"/>
  <c r="U65" i="117"/>
  <c r="T65" i="117"/>
  <c r="AC64" i="117"/>
  <c r="AB64" i="117"/>
  <c r="AA64" i="117"/>
  <c r="Z64" i="117"/>
  <c r="Y64" i="117"/>
  <c r="X64" i="117"/>
  <c r="W64" i="117"/>
  <c r="V64" i="117"/>
  <c r="U64" i="117"/>
  <c r="T64" i="117"/>
  <c r="AC63" i="117"/>
  <c r="AB63" i="117"/>
  <c r="AA63" i="117"/>
  <c r="Z63" i="117"/>
  <c r="Y63" i="117"/>
  <c r="X63" i="117"/>
  <c r="W63" i="117"/>
  <c r="V63" i="117"/>
  <c r="U63" i="117"/>
  <c r="T63" i="117"/>
  <c r="AC62" i="117"/>
  <c r="AB62" i="117"/>
  <c r="AA62" i="117"/>
  <c r="Z62" i="117"/>
  <c r="Y62" i="117"/>
  <c r="X62" i="117"/>
  <c r="W62" i="117"/>
  <c r="V62" i="117"/>
  <c r="U62" i="117"/>
  <c r="T62" i="117"/>
  <c r="AC61" i="117"/>
  <c r="AB61" i="117"/>
  <c r="AA61" i="117"/>
  <c r="Z61" i="117"/>
  <c r="Y61" i="117"/>
  <c r="X61" i="117"/>
  <c r="W61" i="117"/>
  <c r="V61" i="117"/>
  <c r="U61" i="117"/>
  <c r="T61" i="117"/>
  <c r="AC60" i="117"/>
  <c r="AB60" i="117"/>
  <c r="AA60" i="117"/>
  <c r="Z60" i="117"/>
  <c r="Y60" i="117"/>
  <c r="X60" i="117"/>
  <c r="W60" i="117"/>
  <c r="V60" i="117"/>
  <c r="U60" i="117"/>
  <c r="T60" i="117"/>
  <c r="AC59" i="117"/>
  <c r="AB59" i="117"/>
  <c r="AA59" i="117"/>
  <c r="Z59" i="117"/>
  <c r="Y59" i="117"/>
  <c r="X59" i="117"/>
  <c r="W59" i="117"/>
  <c r="V59" i="117"/>
  <c r="U59" i="117"/>
  <c r="T59" i="117"/>
  <c r="AC58" i="117"/>
  <c r="AB58" i="117"/>
  <c r="AA58" i="117"/>
  <c r="Z58" i="117"/>
  <c r="Y58" i="117"/>
  <c r="X58" i="117"/>
  <c r="W58" i="117"/>
  <c r="V58" i="117"/>
  <c r="U58" i="117"/>
  <c r="T58" i="117"/>
  <c r="AC57" i="117"/>
  <c r="AB57" i="117"/>
  <c r="AA57" i="117"/>
  <c r="Z57" i="117"/>
  <c r="Y57" i="117"/>
  <c r="X57" i="117"/>
  <c r="W57" i="117"/>
  <c r="V57" i="117"/>
  <c r="U57" i="117"/>
  <c r="T57" i="117"/>
  <c r="AC56" i="117"/>
  <c r="AB56" i="117"/>
  <c r="AA56" i="117"/>
  <c r="Z56" i="117"/>
  <c r="Y56" i="117"/>
  <c r="X56" i="117"/>
  <c r="W56" i="117"/>
  <c r="V56" i="117"/>
  <c r="U56" i="117"/>
  <c r="T56" i="117"/>
  <c r="AC55" i="117"/>
  <c r="AB55" i="117"/>
  <c r="AA55" i="117"/>
  <c r="Z55" i="117"/>
  <c r="Y55" i="117"/>
  <c r="X55" i="117"/>
  <c r="W55" i="117"/>
  <c r="V55" i="117"/>
  <c r="U55" i="117"/>
  <c r="T55" i="117"/>
  <c r="AC54" i="117"/>
  <c r="AB54" i="117"/>
  <c r="AA54" i="117"/>
  <c r="Z54" i="117"/>
  <c r="Y54" i="117"/>
  <c r="X54" i="117"/>
  <c r="W54" i="117"/>
  <c r="V54" i="117"/>
  <c r="U54" i="117"/>
  <c r="T54" i="117"/>
  <c r="AC53" i="117"/>
  <c r="AB53" i="117"/>
  <c r="AA53" i="117"/>
  <c r="Z53" i="117"/>
  <c r="Y53" i="117"/>
  <c r="X53" i="117"/>
  <c r="W53" i="117"/>
  <c r="V53" i="117"/>
  <c r="U53" i="117"/>
  <c r="T53" i="117"/>
  <c r="AC52" i="117"/>
  <c r="AB52" i="117"/>
  <c r="AA52" i="117"/>
  <c r="Z52" i="117"/>
  <c r="Y52" i="117"/>
  <c r="X52" i="117"/>
  <c r="W52" i="117"/>
  <c r="V52" i="117"/>
  <c r="U52" i="117"/>
  <c r="T52" i="117"/>
  <c r="AC51" i="117"/>
  <c r="AB51" i="117"/>
  <c r="AA51" i="117"/>
  <c r="Z51" i="117"/>
  <c r="Y51" i="117"/>
  <c r="X51" i="117"/>
  <c r="W51" i="117"/>
  <c r="V51" i="117"/>
  <c r="U51" i="117"/>
  <c r="T51" i="117"/>
  <c r="AC50" i="117"/>
  <c r="AB50" i="117"/>
  <c r="AA50" i="117"/>
  <c r="Z50" i="117"/>
  <c r="Y50" i="117"/>
  <c r="X50" i="117"/>
  <c r="W50" i="117"/>
  <c r="V50" i="117"/>
  <c r="U50" i="117"/>
  <c r="T50" i="117"/>
  <c r="AC49" i="117"/>
  <c r="AB49" i="117"/>
  <c r="AA49" i="117"/>
  <c r="Z49" i="117"/>
  <c r="Y49" i="117"/>
  <c r="X49" i="117"/>
  <c r="W49" i="117"/>
  <c r="V49" i="117"/>
  <c r="U49" i="117"/>
  <c r="T49" i="117"/>
  <c r="AC48" i="117"/>
  <c r="AB48" i="117"/>
  <c r="AA48" i="117"/>
  <c r="Z48" i="117"/>
  <c r="Y48" i="117"/>
  <c r="X48" i="117"/>
  <c r="W48" i="117"/>
  <c r="V48" i="117"/>
  <c r="U48" i="117"/>
  <c r="T48" i="117"/>
  <c r="AC47" i="117"/>
  <c r="AB47" i="117"/>
  <c r="AA47" i="117"/>
  <c r="Z47" i="117"/>
  <c r="Y47" i="117"/>
  <c r="X47" i="117"/>
  <c r="W47" i="117"/>
  <c r="V47" i="117"/>
  <c r="U47" i="117"/>
  <c r="T47" i="117"/>
  <c r="AC46" i="117"/>
  <c r="AB46" i="117"/>
  <c r="AA46" i="117"/>
  <c r="Z46" i="117"/>
  <c r="Y46" i="117"/>
  <c r="X46" i="117"/>
  <c r="W46" i="117"/>
  <c r="V46" i="117"/>
  <c r="U46" i="117"/>
  <c r="T46" i="117"/>
  <c r="T35" i="117"/>
  <c r="P35" i="117"/>
  <c r="AN23" i="117"/>
  <c r="AN22" i="117"/>
  <c r="AN16" i="117"/>
  <c r="AN15" i="117"/>
  <c r="AN14" i="117"/>
  <c r="AN13" i="117"/>
  <c r="AN12" i="117"/>
  <c r="AN11" i="117"/>
  <c r="AN10" i="117"/>
  <c r="AN9" i="117"/>
  <c r="AN8" i="117"/>
  <c r="AN7" i="117"/>
  <c r="H174" i="116"/>
  <c r="U23" i="116"/>
  <c r="H173" i="116"/>
  <c r="AC139" i="116"/>
  <c r="AB139" i="116"/>
  <c r="AA139" i="116"/>
  <c r="Z139" i="116"/>
  <c r="Y139" i="116"/>
  <c r="X139" i="116"/>
  <c r="W139" i="116"/>
  <c r="V139" i="116"/>
  <c r="U139" i="116"/>
  <c r="T139" i="116"/>
  <c r="AC138" i="116"/>
  <c r="AB138" i="116"/>
  <c r="AA138" i="116"/>
  <c r="Z138" i="116"/>
  <c r="Y138" i="116"/>
  <c r="X138" i="116"/>
  <c r="W138" i="116"/>
  <c r="V138" i="116"/>
  <c r="U138" i="116"/>
  <c r="T138" i="116"/>
  <c r="AC137" i="116"/>
  <c r="AB137" i="116"/>
  <c r="AA137" i="116"/>
  <c r="Z137" i="116"/>
  <c r="Y137" i="116"/>
  <c r="X137" i="116"/>
  <c r="W137" i="116"/>
  <c r="V137" i="116"/>
  <c r="U137" i="116"/>
  <c r="T137" i="116"/>
  <c r="AC136" i="116"/>
  <c r="AB136" i="116"/>
  <c r="AA136" i="116"/>
  <c r="Z136" i="116"/>
  <c r="Y136" i="116"/>
  <c r="X136" i="116"/>
  <c r="W136" i="116"/>
  <c r="V136" i="116"/>
  <c r="U136" i="116"/>
  <c r="T136" i="116"/>
  <c r="AC135" i="116"/>
  <c r="AB135" i="116"/>
  <c r="AA135" i="116"/>
  <c r="Z135" i="116"/>
  <c r="Y135" i="116"/>
  <c r="X135" i="116"/>
  <c r="W135" i="116"/>
  <c r="V135" i="116"/>
  <c r="U135" i="116"/>
  <c r="T135" i="116"/>
  <c r="AC134" i="116"/>
  <c r="AB134" i="116"/>
  <c r="AA134" i="116"/>
  <c r="Z134" i="116"/>
  <c r="Y134" i="116"/>
  <c r="X134" i="116"/>
  <c r="W134" i="116"/>
  <c r="V134" i="116"/>
  <c r="U134" i="116"/>
  <c r="T134" i="116"/>
  <c r="AC133" i="116"/>
  <c r="AB133" i="116"/>
  <c r="AA133" i="116"/>
  <c r="Z133" i="116"/>
  <c r="Y133" i="116"/>
  <c r="X133" i="116"/>
  <c r="W133" i="116"/>
  <c r="V133" i="116"/>
  <c r="U133" i="116"/>
  <c r="T133" i="116"/>
  <c r="AC132" i="116"/>
  <c r="AB132" i="116"/>
  <c r="AA132" i="116"/>
  <c r="Z132" i="116"/>
  <c r="Y132" i="116"/>
  <c r="X132" i="116"/>
  <c r="W132" i="116"/>
  <c r="V132" i="116"/>
  <c r="U132" i="116"/>
  <c r="T132" i="116"/>
  <c r="AC131" i="116"/>
  <c r="AB131" i="116"/>
  <c r="AA131" i="116"/>
  <c r="Z131" i="116"/>
  <c r="Y131" i="116"/>
  <c r="X131" i="116"/>
  <c r="W131" i="116"/>
  <c r="V131" i="116"/>
  <c r="U131" i="116"/>
  <c r="T131" i="116"/>
  <c r="AC130" i="116"/>
  <c r="AB130" i="116"/>
  <c r="AA130" i="116"/>
  <c r="Z130" i="116"/>
  <c r="Y130" i="116"/>
  <c r="X130" i="116"/>
  <c r="W130" i="116"/>
  <c r="V130" i="116"/>
  <c r="U130" i="116"/>
  <c r="T130" i="116"/>
  <c r="AC129" i="116"/>
  <c r="AB129" i="116"/>
  <c r="AA129" i="116"/>
  <c r="Z129" i="116"/>
  <c r="Y129" i="116"/>
  <c r="X129" i="116"/>
  <c r="W129" i="116"/>
  <c r="V129" i="116"/>
  <c r="U129" i="116"/>
  <c r="T129" i="116"/>
  <c r="AC128" i="116"/>
  <c r="AB128" i="116"/>
  <c r="AA128" i="116"/>
  <c r="Z128" i="116"/>
  <c r="Y128" i="116"/>
  <c r="X128" i="116"/>
  <c r="W128" i="116"/>
  <c r="V128" i="116"/>
  <c r="U128" i="116"/>
  <c r="T128" i="116"/>
  <c r="AC127" i="116"/>
  <c r="AB127" i="116"/>
  <c r="AA127" i="116"/>
  <c r="Z127" i="116"/>
  <c r="Y127" i="116"/>
  <c r="X127" i="116"/>
  <c r="W127" i="116"/>
  <c r="V127" i="116"/>
  <c r="U127" i="116"/>
  <c r="T127" i="116"/>
  <c r="AC126" i="116"/>
  <c r="AB126" i="116"/>
  <c r="AA126" i="116"/>
  <c r="Z126" i="116"/>
  <c r="Y126" i="116"/>
  <c r="X126" i="116"/>
  <c r="W126" i="116"/>
  <c r="V126" i="116"/>
  <c r="U126" i="116"/>
  <c r="T126" i="116"/>
  <c r="AC125" i="116"/>
  <c r="AB125" i="116"/>
  <c r="AA125" i="116"/>
  <c r="Z125" i="116"/>
  <c r="Y125" i="116"/>
  <c r="X125" i="116"/>
  <c r="W125" i="116"/>
  <c r="V125" i="116"/>
  <c r="U125" i="116"/>
  <c r="T125" i="116"/>
  <c r="AC124" i="116"/>
  <c r="AB124" i="116"/>
  <c r="AA124" i="116"/>
  <c r="Z124" i="116"/>
  <c r="Y124" i="116"/>
  <c r="X124" i="116"/>
  <c r="W124" i="116"/>
  <c r="V124" i="116"/>
  <c r="U124" i="116"/>
  <c r="T124" i="116"/>
  <c r="AC123" i="116"/>
  <c r="AB123" i="116"/>
  <c r="AA123" i="116"/>
  <c r="Z123" i="116"/>
  <c r="Y123" i="116"/>
  <c r="X123" i="116"/>
  <c r="W123" i="116"/>
  <c r="V123" i="116"/>
  <c r="U123" i="116"/>
  <c r="T123" i="116"/>
  <c r="AC122" i="116"/>
  <c r="AB122" i="116"/>
  <c r="AA122" i="116"/>
  <c r="Z122" i="116"/>
  <c r="Y122" i="116"/>
  <c r="X122" i="116"/>
  <c r="W122" i="116"/>
  <c r="V122" i="116"/>
  <c r="U122" i="116"/>
  <c r="T122" i="116"/>
  <c r="AC121" i="116"/>
  <c r="AB121" i="116"/>
  <c r="AA121" i="116"/>
  <c r="Z121" i="116"/>
  <c r="Y121" i="116"/>
  <c r="X121" i="116"/>
  <c r="W121" i="116"/>
  <c r="V121" i="116"/>
  <c r="U121" i="116"/>
  <c r="T121" i="116"/>
  <c r="AC120" i="116"/>
  <c r="AB120" i="116"/>
  <c r="AA120" i="116"/>
  <c r="Z120" i="116"/>
  <c r="Y120" i="116"/>
  <c r="X120" i="116"/>
  <c r="W120" i="116"/>
  <c r="V120" i="116"/>
  <c r="U120" i="116"/>
  <c r="T120" i="116"/>
  <c r="AC119" i="116"/>
  <c r="AB119" i="116"/>
  <c r="AA119" i="116"/>
  <c r="Z119" i="116"/>
  <c r="Y119" i="116"/>
  <c r="X119" i="116"/>
  <c r="W119" i="116"/>
  <c r="V119" i="116"/>
  <c r="U119" i="116"/>
  <c r="T119" i="116"/>
  <c r="AC118" i="116"/>
  <c r="AB118" i="116"/>
  <c r="AA118" i="116"/>
  <c r="Z118" i="116"/>
  <c r="Y118" i="116"/>
  <c r="X118" i="116"/>
  <c r="W118" i="116"/>
  <c r="V118" i="116"/>
  <c r="U118" i="116"/>
  <c r="T118" i="116"/>
  <c r="AC117" i="116"/>
  <c r="AB117" i="116"/>
  <c r="AA117" i="116"/>
  <c r="Z117" i="116"/>
  <c r="Y117" i="116"/>
  <c r="X117" i="116"/>
  <c r="W117" i="116"/>
  <c r="V117" i="116"/>
  <c r="U117" i="116"/>
  <c r="T117" i="116"/>
  <c r="AC116" i="116"/>
  <c r="AB116" i="116"/>
  <c r="AA116" i="116"/>
  <c r="Z116" i="116"/>
  <c r="Y116" i="116"/>
  <c r="X116" i="116"/>
  <c r="W116" i="116"/>
  <c r="V116" i="116"/>
  <c r="U116" i="116"/>
  <c r="T116" i="116"/>
  <c r="AC115" i="116"/>
  <c r="AB115" i="116"/>
  <c r="AA115" i="116"/>
  <c r="Z115" i="116"/>
  <c r="Y115" i="116"/>
  <c r="X115" i="116"/>
  <c r="W115" i="116"/>
  <c r="V115" i="116"/>
  <c r="U115" i="116"/>
  <c r="T115" i="116"/>
  <c r="AC114" i="116"/>
  <c r="AB114" i="116"/>
  <c r="AA114" i="116"/>
  <c r="Z114" i="116"/>
  <c r="Y114" i="116"/>
  <c r="X114" i="116"/>
  <c r="W114" i="116"/>
  <c r="V114" i="116"/>
  <c r="U114" i="116"/>
  <c r="T114" i="116"/>
  <c r="AC113" i="116"/>
  <c r="AB113" i="116"/>
  <c r="AA113" i="116"/>
  <c r="Z113" i="116"/>
  <c r="Y113" i="116"/>
  <c r="X113" i="116"/>
  <c r="W113" i="116"/>
  <c r="V113" i="116"/>
  <c r="U113" i="116"/>
  <c r="T113" i="116"/>
  <c r="AC112" i="116"/>
  <c r="AB112" i="116"/>
  <c r="AA112" i="116"/>
  <c r="Z112" i="116"/>
  <c r="Y112" i="116"/>
  <c r="X112" i="116"/>
  <c r="W112" i="116"/>
  <c r="V112" i="116"/>
  <c r="U112" i="116"/>
  <c r="T112" i="116"/>
  <c r="AC111" i="116"/>
  <c r="AB111" i="116"/>
  <c r="AA111" i="116"/>
  <c r="Z111" i="116"/>
  <c r="Y111" i="116"/>
  <c r="X111" i="116"/>
  <c r="W111" i="116"/>
  <c r="V111" i="116"/>
  <c r="U111" i="116"/>
  <c r="T111" i="116"/>
  <c r="AC110" i="116"/>
  <c r="AB110" i="116"/>
  <c r="AA110" i="116"/>
  <c r="Z110" i="116"/>
  <c r="Y110" i="116"/>
  <c r="X110" i="116"/>
  <c r="W110" i="116"/>
  <c r="V110" i="116"/>
  <c r="U110" i="116"/>
  <c r="T110" i="116"/>
  <c r="AC109" i="116"/>
  <c r="AB109" i="116"/>
  <c r="AA109" i="116"/>
  <c r="Z109" i="116"/>
  <c r="Y109" i="116"/>
  <c r="X109" i="116"/>
  <c r="W109" i="116"/>
  <c r="V109" i="116"/>
  <c r="U109" i="116"/>
  <c r="T109" i="116"/>
  <c r="AC108" i="116"/>
  <c r="AB108" i="116"/>
  <c r="AA108" i="116"/>
  <c r="Z108" i="116"/>
  <c r="Y108" i="116"/>
  <c r="X108" i="116"/>
  <c r="W108" i="116"/>
  <c r="V108" i="116"/>
  <c r="U108" i="116"/>
  <c r="T108" i="116"/>
  <c r="AC107" i="116"/>
  <c r="AB107" i="116"/>
  <c r="AA107" i="116"/>
  <c r="Z107" i="116"/>
  <c r="Y107" i="116"/>
  <c r="X107" i="116"/>
  <c r="W107" i="116"/>
  <c r="V107" i="116"/>
  <c r="U107" i="116"/>
  <c r="T107" i="116"/>
  <c r="AC106" i="116"/>
  <c r="AB106" i="116"/>
  <c r="AA106" i="116"/>
  <c r="Z106" i="116"/>
  <c r="Y106" i="116"/>
  <c r="X106" i="116"/>
  <c r="W106" i="116"/>
  <c r="V106" i="116"/>
  <c r="U106" i="116"/>
  <c r="T106" i="116"/>
  <c r="AC105" i="116"/>
  <c r="AB105" i="116"/>
  <c r="AA105" i="116"/>
  <c r="Z105" i="116"/>
  <c r="Y105" i="116"/>
  <c r="X105" i="116"/>
  <c r="W105" i="116"/>
  <c r="V105" i="116"/>
  <c r="U105" i="116"/>
  <c r="T105" i="116"/>
  <c r="AC104" i="116"/>
  <c r="AB104" i="116"/>
  <c r="AA104" i="116"/>
  <c r="Z104" i="116"/>
  <c r="Y104" i="116"/>
  <c r="X104" i="116"/>
  <c r="W104" i="116"/>
  <c r="V104" i="116"/>
  <c r="U104" i="116"/>
  <c r="T104" i="116"/>
  <c r="AC103" i="116"/>
  <c r="AB103" i="116"/>
  <c r="AA103" i="116"/>
  <c r="Z103" i="116"/>
  <c r="Y103" i="116"/>
  <c r="X103" i="116"/>
  <c r="W103" i="116"/>
  <c r="V103" i="116"/>
  <c r="U103" i="116"/>
  <c r="T103" i="116"/>
  <c r="AC102" i="116"/>
  <c r="AB102" i="116"/>
  <c r="AA102" i="116"/>
  <c r="Z102" i="116"/>
  <c r="Y102" i="116"/>
  <c r="X102" i="116"/>
  <c r="W102" i="116"/>
  <c r="V102" i="116"/>
  <c r="U102" i="116"/>
  <c r="T102" i="116"/>
  <c r="AC101" i="116"/>
  <c r="AB101" i="116"/>
  <c r="AA101" i="116"/>
  <c r="Z101" i="116"/>
  <c r="Y101" i="116"/>
  <c r="X101" i="116"/>
  <c r="W101" i="116"/>
  <c r="V101" i="116"/>
  <c r="U101" i="116"/>
  <c r="T101" i="116"/>
  <c r="AC100" i="116"/>
  <c r="AB100" i="116"/>
  <c r="AA100" i="116"/>
  <c r="Z100" i="116"/>
  <c r="Y100" i="116"/>
  <c r="X100" i="116"/>
  <c r="W100" i="116"/>
  <c r="V100" i="116"/>
  <c r="U100" i="116"/>
  <c r="T100" i="116"/>
  <c r="AC99" i="116"/>
  <c r="AB99" i="116"/>
  <c r="AA99" i="116"/>
  <c r="Z99" i="116"/>
  <c r="Y99" i="116"/>
  <c r="X99" i="116"/>
  <c r="W99" i="116"/>
  <c r="V99" i="116"/>
  <c r="U99" i="116"/>
  <c r="T99" i="116"/>
  <c r="AC98" i="116"/>
  <c r="AB98" i="116"/>
  <c r="AA98" i="116"/>
  <c r="Z98" i="116"/>
  <c r="Y98" i="116"/>
  <c r="X98" i="116"/>
  <c r="W98" i="116"/>
  <c r="V98" i="116"/>
  <c r="U98" i="116"/>
  <c r="T98" i="116"/>
  <c r="AC97" i="116"/>
  <c r="AB97" i="116"/>
  <c r="AA97" i="116"/>
  <c r="Z97" i="116"/>
  <c r="Y97" i="116"/>
  <c r="X97" i="116"/>
  <c r="W97" i="116"/>
  <c r="V97" i="116"/>
  <c r="U97" i="116"/>
  <c r="T97" i="116"/>
  <c r="AC96" i="116"/>
  <c r="AB96" i="116"/>
  <c r="AA96" i="116"/>
  <c r="Z96" i="116"/>
  <c r="Y96" i="116"/>
  <c r="X96" i="116"/>
  <c r="W96" i="116"/>
  <c r="V96" i="116"/>
  <c r="U96" i="116"/>
  <c r="T96" i="116"/>
  <c r="AC95" i="116"/>
  <c r="AB95" i="116"/>
  <c r="AA95" i="116"/>
  <c r="Z95" i="116"/>
  <c r="Y95" i="116"/>
  <c r="X95" i="116"/>
  <c r="W95" i="116"/>
  <c r="V95" i="116"/>
  <c r="U95" i="116"/>
  <c r="T95" i="116"/>
  <c r="AC94" i="116"/>
  <c r="AB94" i="116"/>
  <c r="AA94" i="116"/>
  <c r="Z94" i="116"/>
  <c r="Y94" i="116"/>
  <c r="X94" i="116"/>
  <c r="W94" i="116"/>
  <c r="V94" i="116"/>
  <c r="U94" i="116"/>
  <c r="T94" i="116"/>
  <c r="AC91" i="116"/>
  <c r="AB91" i="116"/>
  <c r="AA91" i="116"/>
  <c r="Z91" i="116"/>
  <c r="Y91" i="116"/>
  <c r="X91" i="116"/>
  <c r="W91" i="116"/>
  <c r="V91" i="116"/>
  <c r="U91" i="116"/>
  <c r="T91" i="116"/>
  <c r="AC90" i="116"/>
  <c r="AB90" i="116"/>
  <c r="AA90" i="116"/>
  <c r="Z90" i="116"/>
  <c r="Y90" i="116"/>
  <c r="X90" i="116"/>
  <c r="W90" i="116"/>
  <c r="V90" i="116"/>
  <c r="U90" i="116"/>
  <c r="T90" i="116"/>
  <c r="AC89" i="116"/>
  <c r="AB89" i="116"/>
  <c r="AA89" i="116"/>
  <c r="Z89" i="116"/>
  <c r="Y89" i="116"/>
  <c r="X89" i="116"/>
  <c r="W89" i="116"/>
  <c r="V89" i="116"/>
  <c r="U89" i="116"/>
  <c r="T89" i="116"/>
  <c r="AC88" i="116"/>
  <c r="AB88" i="116"/>
  <c r="AA88" i="116"/>
  <c r="Z88" i="116"/>
  <c r="Y88" i="116"/>
  <c r="X88" i="116"/>
  <c r="W88" i="116"/>
  <c r="V88" i="116"/>
  <c r="U88" i="116"/>
  <c r="T88" i="116"/>
  <c r="AC87" i="116"/>
  <c r="AB87" i="116"/>
  <c r="AA87" i="116"/>
  <c r="Z87" i="116"/>
  <c r="Y87" i="116"/>
  <c r="X87" i="116"/>
  <c r="W87" i="116"/>
  <c r="V87" i="116"/>
  <c r="U87" i="116"/>
  <c r="T87" i="116"/>
  <c r="AC86" i="116"/>
  <c r="AB86" i="116"/>
  <c r="AA86" i="116"/>
  <c r="Z86" i="116"/>
  <c r="Y86" i="116"/>
  <c r="X86" i="116"/>
  <c r="W86" i="116"/>
  <c r="V86" i="116"/>
  <c r="U86" i="116"/>
  <c r="T86" i="116"/>
  <c r="AC85" i="116"/>
  <c r="AB85" i="116"/>
  <c r="AA85" i="116"/>
  <c r="Z85" i="116"/>
  <c r="Y85" i="116"/>
  <c r="X85" i="116"/>
  <c r="W85" i="116"/>
  <c r="V85" i="116"/>
  <c r="U85" i="116"/>
  <c r="T85" i="116"/>
  <c r="AC84" i="116"/>
  <c r="AB84" i="116"/>
  <c r="AA84" i="116"/>
  <c r="Z84" i="116"/>
  <c r="Y84" i="116"/>
  <c r="X84" i="116"/>
  <c r="W84" i="116"/>
  <c r="V84" i="116"/>
  <c r="U84" i="116"/>
  <c r="T84" i="116"/>
  <c r="AC83" i="116"/>
  <c r="AB83" i="116"/>
  <c r="AA83" i="116"/>
  <c r="Z83" i="116"/>
  <c r="Y83" i="116"/>
  <c r="X83" i="116"/>
  <c r="W83" i="116"/>
  <c r="V83" i="116"/>
  <c r="U83" i="116"/>
  <c r="T83" i="116"/>
  <c r="AC82" i="116"/>
  <c r="AB82" i="116"/>
  <c r="AA82" i="116"/>
  <c r="Z82" i="116"/>
  <c r="Y82" i="116"/>
  <c r="X82" i="116"/>
  <c r="W82" i="116"/>
  <c r="V82" i="116"/>
  <c r="U82" i="116"/>
  <c r="T82" i="116"/>
  <c r="AC81" i="116"/>
  <c r="AB81" i="116"/>
  <c r="AA81" i="116"/>
  <c r="Z81" i="116"/>
  <c r="Y81" i="116"/>
  <c r="X81" i="116"/>
  <c r="W81" i="116"/>
  <c r="V81" i="116"/>
  <c r="U81" i="116"/>
  <c r="T81" i="116"/>
  <c r="AC80" i="116"/>
  <c r="AB80" i="116"/>
  <c r="AA80" i="116"/>
  <c r="Z80" i="116"/>
  <c r="Y80" i="116"/>
  <c r="X80" i="116"/>
  <c r="W80" i="116"/>
  <c r="V80" i="116"/>
  <c r="U80" i="116"/>
  <c r="T80" i="116"/>
  <c r="AC79" i="116"/>
  <c r="AB79" i="116"/>
  <c r="AA79" i="116"/>
  <c r="Z79" i="116"/>
  <c r="Y79" i="116"/>
  <c r="X79" i="116"/>
  <c r="W79" i="116"/>
  <c r="V79" i="116"/>
  <c r="U79" i="116"/>
  <c r="T79" i="116"/>
  <c r="AC78" i="116"/>
  <c r="AB78" i="116"/>
  <c r="AA78" i="116"/>
  <c r="Z78" i="116"/>
  <c r="Y78" i="116"/>
  <c r="X78" i="116"/>
  <c r="W78" i="116"/>
  <c r="V78" i="116"/>
  <c r="U78" i="116"/>
  <c r="T78" i="116"/>
  <c r="AC77" i="116"/>
  <c r="AB77" i="116"/>
  <c r="AA77" i="116"/>
  <c r="Z77" i="116"/>
  <c r="Y77" i="116"/>
  <c r="X77" i="116"/>
  <c r="W77" i="116"/>
  <c r="V77" i="116"/>
  <c r="U77" i="116"/>
  <c r="T77" i="116"/>
  <c r="AC76" i="116"/>
  <c r="AB76" i="116"/>
  <c r="AA76" i="116"/>
  <c r="Z76" i="116"/>
  <c r="Y76" i="116"/>
  <c r="X76" i="116"/>
  <c r="W76" i="116"/>
  <c r="V76" i="116"/>
  <c r="U76" i="116"/>
  <c r="T76" i="116"/>
  <c r="AC75" i="116"/>
  <c r="AB75" i="116"/>
  <c r="AA75" i="116"/>
  <c r="Z75" i="116"/>
  <c r="Y75" i="116"/>
  <c r="X75" i="116"/>
  <c r="W75" i="116"/>
  <c r="V75" i="116"/>
  <c r="U75" i="116"/>
  <c r="T75" i="116"/>
  <c r="AC74" i="116"/>
  <c r="AB74" i="116"/>
  <c r="AA74" i="116"/>
  <c r="Z74" i="116"/>
  <c r="Y74" i="116"/>
  <c r="X74" i="116"/>
  <c r="W74" i="116"/>
  <c r="V74" i="116"/>
  <c r="U74" i="116"/>
  <c r="T74" i="116"/>
  <c r="AC73" i="116"/>
  <c r="AB73" i="116"/>
  <c r="AA73" i="116"/>
  <c r="Z73" i="116"/>
  <c r="Y73" i="116"/>
  <c r="X73" i="116"/>
  <c r="W73" i="116"/>
  <c r="V73" i="116"/>
  <c r="U73" i="116"/>
  <c r="T73" i="116"/>
  <c r="AC72" i="116"/>
  <c r="AB72" i="116"/>
  <c r="AA72" i="116"/>
  <c r="Z72" i="116"/>
  <c r="Y72" i="116"/>
  <c r="X72" i="116"/>
  <c r="W72" i="116"/>
  <c r="V72" i="116"/>
  <c r="U72" i="116"/>
  <c r="T72" i="116"/>
  <c r="AC71" i="116"/>
  <c r="AB71" i="116"/>
  <c r="AA71" i="116"/>
  <c r="Z71" i="116"/>
  <c r="Y71" i="116"/>
  <c r="X71" i="116"/>
  <c r="W71" i="116"/>
  <c r="V71" i="116"/>
  <c r="U71" i="116"/>
  <c r="T71" i="116"/>
  <c r="AC70" i="116"/>
  <c r="AB70" i="116"/>
  <c r="AA70" i="116"/>
  <c r="Z70" i="116"/>
  <c r="Y70" i="116"/>
  <c r="X70" i="116"/>
  <c r="W70" i="116"/>
  <c r="V70" i="116"/>
  <c r="U70" i="116"/>
  <c r="T70" i="116"/>
  <c r="AC69" i="116"/>
  <c r="AB69" i="116"/>
  <c r="AA69" i="116"/>
  <c r="Z69" i="116"/>
  <c r="Y69" i="116"/>
  <c r="X69" i="116"/>
  <c r="W69" i="116"/>
  <c r="V69" i="116"/>
  <c r="U69" i="116"/>
  <c r="T69" i="116"/>
  <c r="AC68" i="116"/>
  <c r="AB68" i="116"/>
  <c r="AA68" i="116"/>
  <c r="Z68" i="116"/>
  <c r="Y68" i="116"/>
  <c r="X68" i="116"/>
  <c r="W68" i="116"/>
  <c r="V68" i="116"/>
  <c r="U68" i="116"/>
  <c r="T68" i="116"/>
  <c r="AC67" i="116"/>
  <c r="AB67" i="116"/>
  <c r="AA67" i="116"/>
  <c r="Z67" i="116"/>
  <c r="Y67" i="116"/>
  <c r="X67" i="116"/>
  <c r="W67" i="116"/>
  <c r="V67" i="116"/>
  <c r="U67" i="116"/>
  <c r="T67" i="116"/>
  <c r="AC66" i="116"/>
  <c r="AB66" i="116"/>
  <c r="AA66" i="116"/>
  <c r="Z66" i="116"/>
  <c r="Y66" i="116"/>
  <c r="X66" i="116"/>
  <c r="W66" i="116"/>
  <c r="V66" i="116"/>
  <c r="U66" i="116"/>
  <c r="T66" i="116"/>
  <c r="AC65" i="116"/>
  <c r="AB65" i="116"/>
  <c r="AA65" i="116"/>
  <c r="Z65" i="116"/>
  <c r="Y65" i="116"/>
  <c r="X65" i="116"/>
  <c r="W65" i="116"/>
  <c r="V65" i="116"/>
  <c r="U65" i="116"/>
  <c r="T65" i="116"/>
  <c r="AC64" i="116"/>
  <c r="AB64" i="116"/>
  <c r="AA64" i="116"/>
  <c r="Z64" i="116"/>
  <c r="Y64" i="116"/>
  <c r="X64" i="116"/>
  <c r="W64" i="116"/>
  <c r="V64" i="116"/>
  <c r="U64" i="116"/>
  <c r="T64" i="116"/>
  <c r="AC63" i="116"/>
  <c r="AB63" i="116"/>
  <c r="AA63" i="116"/>
  <c r="Z63" i="116"/>
  <c r="Y63" i="116"/>
  <c r="X63" i="116"/>
  <c r="W63" i="116"/>
  <c r="V63" i="116"/>
  <c r="U63" i="116"/>
  <c r="T63" i="116"/>
  <c r="AC62" i="116"/>
  <c r="AB62" i="116"/>
  <c r="AA62" i="116"/>
  <c r="Z62" i="116"/>
  <c r="Y62" i="116"/>
  <c r="X62" i="116"/>
  <c r="W62" i="116"/>
  <c r="V62" i="116"/>
  <c r="U62" i="116"/>
  <c r="T62" i="116"/>
  <c r="AC61" i="116"/>
  <c r="AB61" i="116"/>
  <c r="AA61" i="116"/>
  <c r="Z61" i="116"/>
  <c r="Y61" i="116"/>
  <c r="X61" i="116"/>
  <c r="W61" i="116"/>
  <c r="V61" i="116"/>
  <c r="U61" i="116"/>
  <c r="T61" i="116"/>
  <c r="AC60" i="116"/>
  <c r="AB60" i="116"/>
  <c r="AA60" i="116"/>
  <c r="Z60" i="116"/>
  <c r="Y60" i="116"/>
  <c r="X60" i="116"/>
  <c r="W60" i="116"/>
  <c r="V60" i="116"/>
  <c r="U60" i="116"/>
  <c r="T60" i="116"/>
  <c r="AC59" i="116"/>
  <c r="AB59" i="116"/>
  <c r="AA59" i="116"/>
  <c r="Z59" i="116"/>
  <c r="Y59" i="116"/>
  <c r="X59" i="116"/>
  <c r="W59" i="116"/>
  <c r="V59" i="116"/>
  <c r="U59" i="116"/>
  <c r="T59" i="116"/>
  <c r="AC58" i="116"/>
  <c r="AB58" i="116"/>
  <c r="AA58" i="116"/>
  <c r="Z58" i="116"/>
  <c r="Y58" i="116"/>
  <c r="X58" i="116"/>
  <c r="W58" i="116"/>
  <c r="V58" i="116"/>
  <c r="U58" i="116"/>
  <c r="T58" i="116"/>
  <c r="AC57" i="116"/>
  <c r="AB57" i="116"/>
  <c r="AA57" i="116"/>
  <c r="Z57" i="116"/>
  <c r="Y57" i="116"/>
  <c r="X57" i="116"/>
  <c r="W57" i="116"/>
  <c r="V57" i="116"/>
  <c r="U57" i="116"/>
  <c r="T57" i="116"/>
  <c r="AC56" i="116"/>
  <c r="AB56" i="116"/>
  <c r="AA56" i="116"/>
  <c r="Z56" i="116"/>
  <c r="Y56" i="116"/>
  <c r="X56" i="116"/>
  <c r="W56" i="116"/>
  <c r="V56" i="116"/>
  <c r="U56" i="116"/>
  <c r="T56" i="116"/>
  <c r="AC55" i="116"/>
  <c r="AB55" i="116"/>
  <c r="AA55" i="116"/>
  <c r="Z55" i="116"/>
  <c r="Y55" i="116"/>
  <c r="X55" i="116"/>
  <c r="W55" i="116"/>
  <c r="V55" i="116"/>
  <c r="U55" i="116"/>
  <c r="T55" i="116"/>
  <c r="AC54" i="116"/>
  <c r="AB54" i="116"/>
  <c r="AA54" i="116"/>
  <c r="Z54" i="116"/>
  <c r="Y54" i="116"/>
  <c r="X54" i="116"/>
  <c r="W54" i="116"/>
  <c r="V54" i="116"/>
  <c r="U54" i="116"/>
  <c r="T54" i="116"/>
  <c r="AC53" i="116"/>
  <c r="AB53" i="116"/>
  <c r="AA53" i="116"/>
  <c r="Z53" i="116"/>
  <c r="Y53" i="116"/>
  <c r="X53" i="116"/>
  <c r="W53" i="116"/>
  <c r="V53" i="116"/>
  <c r="U53" i="116"/>
  <c r="T53" i="116"/>
  <c r="AC52" i="116"/>
  <c r="AB52" i="116"/>
  <c r="AA52" i="116"/>
  <c r="Z52" i="116"/>
  <c r="Y52" i="116"/>
  <c r="X52" i="116"/>
  <c r="W52" i="116"/>
  <c r="V52" i="116"/>
  <c r="U52" i="116"/>
  <c r="T52" i="116"/>
  <c r="AC51" i="116"/>
  <c r="AB51" i="116"/>
  <c r="AA51" i="116"/>
  <c r="Z51" i="116"/>
  <c r="Y51" i="116"/>
  <c r="X51" i="116"/>
  <c r="W51" i="116"/>
  <c r="V51" i="116"/>
  <c r="U51" i="116"/>
  <c r="T51" i="116"/>
  <c r="AC50" i="116"/>
  <c r="AB50" i="116"/>
  <c r="AA50" i="116"/>
  <c r="Z50" i="116"/>
  <c r="Y50" i="116"/>
  <c r="X50" i="116"/>
  <c r="W50" i="116"/>
  <c r="V50" i="116"/>
  <c r="U50" i="116"/>
  <c r="T50" i="116"/>
  <c r="AC49" i="116"/>
  <c r="AB49" i="116"/>
  <c r="AA49" i="116"/>
  <c r="Z49" i="116"/>
  <c r="Y49" i="116"/>
  <c r="X49" i="116"/>
  <c r="W49" i="116"/>
  <c r="V49" i="116"/>
  <c r="U49" i="116"/>
  <c r="T49" i="116"/>
  <c r="AC48" i="116"/>
  <c r="AB48" i="116"/>
  <c r="AA48" i="116"/>
  <c r="Z48" i="116"/>
  <c r="Y48" i="116"/>
  <c r="X48" i="116"/>
  <c r="W48" i="116"/>
  <c r="V48" i="116"/>
  <c r="U48" i="116"/>
  <c r="T48" i="116"/>
  <c r="AC47" i="116"/>
  <c r="AB47" i="116"/>
  <c r="AA47" i="116"/>
  <c r="Z47" i="116"/>
  <c r="Y47" i="116"/>
  <c r="X47" i="116"/>
  <c r="W47" i="116"/>
  <c r="V47" i="116"/>
  <c r="U47" i="116"/>
  <c r="T47" i="116"/>
  <c r="AC46" i="116"/>
  <c r="AB46" i="116"/>
  <c r="AA46" i="116"/>
  <c r="Z46" i="116"/>
  <c r="Y46" i="116"/>
  <c r="X46" i="116"/>
  <c r="W46" i="116"/>
  <c r="V46" i="116"/>
  <c r="U46" i="116"/>
  <c r="T35" i="116"/>
  <c r="P35" i="116"/>
  <c r="AN23" i="116"/>
  <c r="W23" i="116"/>
  <c r="AN22" i="116"/>
  <c r="W22" i="116"/>
  <c r="U22" i="116"/>
  <c r="AN16" i="116"/>
  <c r="AK16" i="116"/>
  <c r="AH16" i="116"/>
  <c r="AJ16" i="116"/>
  <c r="AG16" i="116"/>
  <c r="AN15" i="116"/>
  <c r="AK15" i="116"/>
  <c r="AH15" i="116"/>
  <c r="AJ15" i="116"/>
  <c r="AG15" i="116"/>
  <c r="AN14" i="116"/>
  <c r="AK14" i="116"/>
  <c r="AH14" i="116"/>
  <c r="AJ14" i="116"/>
  <c r="AG14" i="116"/>
  <c r="AN13" i="116"/>
  <c r="AK13" i="116"/>
  <c r="AH13" i="116"/>
  <c r="AJ13" i="116"/>
  <c r="AG13" i="116"/>
  <c r="AN12" i="116"/>
  <c r="AK12" i="116"/>
  <c r="AH12" i="116"/>
  <c r="AJ12" i="116"/>
  <c r="AG12" i="116"/>
  <c r="AN11" i="116"/>
  <c r="AK11" i="116"/>
  <c r="AH11" i="116"/>
  <c r="AJ11" i="116"/>
  <c r="AG11" i="116"/>
  <c r="AN10" i="116"/>
  <c r="AK10" i="116"/>
  <c r="AH10" i="116"/>
  <c r="AJ10" i="116"/>
  <c r="AG10" i="116"/>
  <c r="AN9" i="116"/>
  <c r="AK9" i="116"/>
  <c r="AH9" i="116"/>
  <c r="AJ9" i="116"/>
  <c r="AG9" i="116"/>
  <c r="AN8" i="116"/>
  <c r="AK8" i="116"/>
  <c r="AH8" i="116"/>
  <c r="AJ8" i="116"/>
  <c r="AG8" i="116"/>
  <c r="AN7" i="116"/>
  <c r="AK7" i="116"/>
  <c r="AH7" i="116"/>
  <c r="AJ7" i="116"/>
  <c r="AG7" i="116"/>
  <c r="H174" i="115"/>
  <c r="W23" i="115"/>
  <c r="H173" i="115"/>
  <c r="W22" i="115"/>
  <c r="AC76" i="115"/>
  <c r="AB76" i="115"/>
  <c r="AA76" i="115"/>
  <c r="Z76" i="115"/>
  <c r="Y76" i="115"/>
  <c r="X76" i="115"/>
  <c r="W76" i="115"/>
  <c r="V76" i="115"/>
  <c r="U76" i="115"/>
  <c r="T76" i="115"/>
  <c r="AC75" i="115"/>
  <c r="AB75" i="115"/>
  <c r="AA75" i="115"/>
  <c r="Z75" i="115"/>
  <c r="Y75" i="115"/>
  <c r="X75" i="115"/>
  <c r="W75" i="115"/>
  <c r="V75" i="115"/>
  <c r="U75" i="115"/>
  <c r="T75" i="115"/>
  <c r="AC74" i="115"/>
  <c r="AB74" i="115"/>
  <c r="AA74" i="115"/>
  <c r="Z74" i="115"/>
  <c r="Y74" i="115"/>
  <c r="X74" i="115"/>
  <c r="W74" i="115"/>
  <c r="V74" i="115"/>
  <c r="U74" i="115"/>
  <c r="T74" i="115"/>
  <c r="AC73" i="115"/>
  <c r="AB73" i="115"/>
  <c r="AA73" i="115"/>
  <c r="Z73" i="115"/>
  <c r="Y73" i="115"/>
  <c r="X73" i="115"/>
  <c r="W73" i="115"/>
  <c r="V73" i="115"/>
  <c r="U73" i="115"/>
  <c r="T73" i="115"/>
  <c r="AC72" i="115"/>
  <c r="AB72" i="115"/>
  <c r="AA72" i="115"/>
  <c r="Z72" i="115"/>
  <c r="Y72" i="115"/>
  <c r="X72" i="115"/>
  <c r="W72" i="115"/>
  <c r="V72" i="115"/>
  <c r="U72" i="115"/>
  <c r="T72" i="115"/>
  <c r="AC71" i="115"/>
  <c r="AB71" i="115"/>
  <c r="AA71" i="115"/>
  <c r="Z71" i="115"/>
  <c r="Y71" i="115"/>
  <c r="X71" i="115"/>
  <c r="W71" i="115"/>
  <c r="V71" i="115"/>
  <c r="U71" i="115"/>
  <c r="T71" i="115"/>
  <c r="AC70" i="115"/>
  <c r="AB70" i="115"/>
  <c r="AA70" i="115"/>
  <c r="Z70" i="115"/>
  <c r="Y70" i="115"/>
  <c r="X70" i="115"/>
  <c r="W70" i="115"/>
  <c r="V70" i="115"/>
  <c r="U70" i="115"/>
  <c r="T70" i="115"/>
  <c r="AC69" i="115"/>
  <c r="AB69" i="115"/>
  <c r="AA69" i="115"/>
  <c r="Z69" i="115"/>
  <c r="Y69" i="115"/>
  <c r="X69" i="115"/>
  <c r="W69" i="115"/>
  <c r="V69" i="115"/>
  <c r="U69" i="115"/>
  <c r="T69" i="115"/>
  <c r="AC68" i="115"/>
  <c r="AB68" i="115"/>
  <c r="AA68" i="115"/>
  <c r="Z68" i="115"/>
  <c r="Y68" i="115"/>
  <c r="X68" i="115"/>
  <c r="W68" i="115"/>
  <c r="V68" i="115"/>
  <c r="U68" i="115"/>
  <c r="T68" i="115"/>
  <c r="AC67" i="115"/>
  <c r="AB67" i="115"/>
  <c r="AA67" i="115"/>
  <c r="Z67" i="115"/>
  <c r="Y67" i="115"/>
  <c r="X67" i="115"/>
  <c r="W67" i="115"/>
  <c r="V67" i="115"/>
  <c r="U67" i="115"/>
  <c r="T67" i="115"/>
  <c r="AC66" i="115"/>
  <c r="AB66" i="115"/>
  <c r="Z66" i="115"/>
  <c r="Y66" i="115"/>
  <c r="X66" i="115"/>
  <c r="W66" i="115"/>
  <c r="V66" i="115"/>
  <c r="U66" i="115"/>
  <c r="T66" i="115"/>
  <c r="AC65" i="115"/>
  <c r="AB65" i="115"/>
  <c r="AA65" i="115"/>
  <c r="Z65" i="115"/>
  <c r="Y65" i="115"/>
  <c r="X65" i="115"/>
  <c r="W65" i="115"/>
  <c r="V65" i="115"/>
  <c r="U65" i="115"/>
  <c r="T65" i="115"/>
  <c r="AC64" i="115"/>
  <c r="AB64" i="115"/>
  <c r="AA64" i="115"/>
  <c r="Z64" i="115"/>
  <c r="Y64" i="115"/>
  <c r="X64" i="115"/>
  <c r="W64" i="115"/>
  <c r="V64" i="115"/>
  <c r="U64" i="115"/>
  <c r="T64" i="115"/>
  <c r="AC63" i="115"/>
  <c r="AB63" i="115"/>
  <c r="AA63" i="115"/>
  <c r="Z63" i="115"/>
  <c r="Y63" i="115"/>
  <c r="X63" i="115"/>
  <c r="W63" i="115"/>
  <c r="V63" i="115"/>
  <c r="U63" i="115"/>
  <c r="T63" i="115"/>
  <c r="AC62" i="115"/>
  <c r="AB62" i="115"/>
  <c r="AA62" i="115"/>
  <c r="Z62" i="115"/>
  <c r="Y62" i="115"/>
  <c r="X62" i="115"/>
  <c r="W62" i="115"/>
  <c r="V62" i="115"/>
  <c r="U62" i="115"/>
  <c r="T62" i="115"/>
  <c r="AC61" i="115"/>
  <c r="AB61" i="115"/>
  <c r="AA61" i="115"/>
  <c r="Z61" i="115"/>
  <c r="Y61" i="115"/>
  <c r="X61" i="115"/>
  <c r="W61" i="115"/>
  <c r="V61" i="115"/>
  <c r="U61" i="115"/>
  <c r="T61" i="115"/>
  <c r="AC60" i="115"/>
  <c r="AB60" i="115"/>
  <c r="AA60" i="115"/>
  <c r="Z60" i="115"/>
  <c r="Y60" i="115"/>
  <c r="X60" i="115"/>
  <c r="W60" i="115"/>
  <c r="V60" i="115"/>
  <c r="U60" i="115"/>
  <c r="T60" i="115"/>
  <c r="AC59" i="115"/>
  <c r="AB59" i="115"/>
  <c r="AA59" i="115"/>
  <c r="Z59" i="115"/>
  <c r="Y59" i="115"/>
  <c r="X59" i="115"/>
  <c r="W59" i="115"/>
  <c r="V59" i="115"/>
  <c r="U59" i="115"/>
  <c r="T59" i="115"/>
  <c r="AC58" i="115"/>
  <c r="AB58" i="115"/>
  <c r="AA58" i="115"/>
  <c r="Z58" i="115"/>
  <c r="Y58" i="115"/>
  <c r="X58" i="115"/>
  <c r="W58" i="115"/>
  <c r="V58" i="115"/>
  <c r="U58" i="115"/>
  <c r="T58" i="115"/>
  <c r="AC57" i="115"/>
  <c r="AB57" i="115"/>
  <c r="AA57" i="115"/>
  <c r="Z57" i="115"/>
  <c r="Y57" i="115"/>
  <c r="X57" i="115"/>
  <c r="W57" i="115"/>
  <c r="V57" i="115"/>
  <c r="U57" i="115"/>
  <c r="T57" i="115"/>
  <c r="AC56" i="115"/>
  <c r="AB56" i="115"/>
  <c r="AA56" i="115"/>
  <c r="Z56" i="115"/>
  <c r="Y56" i="115"/>
  <c r="X56" i="115"/>
  <c r="W56" i="115"/>
  <c r="V56" i="115"/>
  <c r="U56" i="115"/>
  <c r="T56" i="115"/>
  <c r="AC55" i="115"/>
  <c r="AB55" i="115"/>
  <c r="AA55" i="115"/>
  <c r="Z55" i="115"/>
  <c r="Y55" i="115"/>
  <c r="X55" i="115"/>
  <c r="W55" i="115"/>
  <c r="V55" i="115"/>
  <c r="U55" i="115"/>
  <c r="T55" i="115"/>
  <c r="AC54" i="115"/>
  <c r="AB54" i="115"/>
  <c r="AA54" i="115"/>
  <c r="Z54" i="115"/>
  <c r="Y54" i="115"/>
  <c r="X54" i="115"/>
  <c r="W54" i="115"/>
  <c r="V54" i="115"/>
  <c r="U54" i="115"/>
  <c r="T54" i="115"/>
  <c r="AC53" i="115"/>
  <c r="AB53" i="115"/>
  <c r="AA53" i="115"/>
  <c r="Z53" i="115"/>
  <c r="Y53" i="115"/>
  <c r="X53" i="115"/>
  <c r="W53" i="115"/>
  <c r="V53" i="115"/>
  <c r="U53" i="115"/>
  <c r="T53" i="115"/>
  <c r="AC52" i="115"/>
  <c r="AB52" i="115"/>
  <c r="AA52" i="115"/>
  <c r="Z52" i="115"/>
  <c r="Y52" i="115"/>
  <c r="X52" i="115"/>
  <c r="W52" i="115"/>
  <c r="V52" i="115"/>
  <c r="U52" i="115"/>
  <c r="T52" i="115"/>
  <c r="AC51" i="115"/>
  <c r="AB51" i="115"/>
  <c r="AA51" i="115"/>
  <c r="Z51" i="115"/>
  <c r="Y51" i="115"/>
  <c r="X51" i="115"/>
  <c r="W51" i="115"/>
  <c r="V51" i="115"/>
  <c r="U51" i="115"/>
  <c r="T51" i="115"/>
  <c r="AC50" i="115"/>
  <c r="AB50" i="115"/>
  <c r="AA50" i="115"/>
  <c r="Z50" i="115"/>
  <c r="Y50" i="115"/>
  <c r="X50" i="115"/>
  <c r="W50" i="115"/>
  <c r="V50" i="115"/>
  <c r="U50" i="115"/>
  <c r="T50" i="115"/>
  <c r="AC49" i="115"/>
  <c r="AB49" i="115"/>
  <c r="AA49" i="115"/>
  <c r="Z49" i="115"/>
  <c r="Y49" i="115"/>
  <c r="X49" i="115"/>
  <c r="W49" i="115"/>
  <c r="V49" i="115"/>
  <c r="U49" i="115"/>
  <c r="T49" i="115"/>
  <c r="AC48" i="115"/>
  <c r="AB48" i="115"/>
  <c r="AA48" i="115"/>
  <c r="Z48" i="115"/>
  <c r="Y48" i="115"/>
  <c r="X48" i="115"/>
  <c r="W48" i="115"/>
  <c r="V48" i="115"/>
  <c r="U48" i="115"/>
  <c r="T48" i="115"/>
  <c r="AC47" i="115"/>
  <c r="AB47" i="115"/>
  <c r="AA47" i="115"/>
  <c r="Z47" i="115"/>
  <c r="Y47" i="115"/>
  <c r="X47" i="115"/>
  <c r="W47" i="115"/>
  <c r="V47" i="115"/>
  <c r="U47" i="115"/>
  <c r="T47" i="115"/>
  <c r="AC46" i="115"/>
  <c r="AB46" i="115"/>
  <c r="AA46" i="115"/>
  <c r="Z46" i="115"/>
  <c r="Y46" i="115"/>
  <c r="X46" i="115"/>
  <c r="W46" i="115"/>
  <c r="V46" i="115"/>
  <c r="U46" i="115"/>
  <c r="T35" i="115"/>
  <c r="P35" i="115"/>
  <c r="AN23" i="115"/>
  <c r="AN22" i="115"/>
  <c r="AN16" i="115"/>
  <c r="AK16" i="115"/>
  <c r="AH16" i="115"/>
  <c r="AJ16" i="115"/>
  <c r="AG16" i="115"/>
  <c r="AN15" i="115"/>
  <c r="AK15" i="115"/>
  <c r="AH15" i="115"/>
  <c r="AJ15" i="115"/>
  <c r="AG15" i="115"/>
  <c r="AN14" i="115"/>
  <c r="AK14" i="115"/>
  <c r="AH14" i="115"/>
  <c r="AJ14" i="115"/>
  <c r="AG14" i="115"/>
  <c r="AN13" i="115"/>
  <c r="AK13" i="115"/>
  <c r="AH13" i="115"/>
  <c r="AJ13" i="115"/>
  <c r="AG13" i="115"/>
  <c r="AN12" i="115"/>
  <c r="AK12" i="115"/>
  <c r="AH12" i="115"/>
  <c r="AJ12" i="115"/>
  <c r="AG12" i="115"/>
  <c r="AN11" i="115"/>
  <c r="AK11" i="115"/>
  <c r="AH11" i="115"/>
  <c r="AJ11" i="115"/>
  <c r="AG11" i="115"/>
  <c r="AN10" i="115"/>
  <c r="AK10" i="115"/>
  <c r="AH10" i="115"/>
  <c r="AJ10" i="115"/>
  <c r="AG10" i="115"/>
  <c r="AN9" i="115"/>
  <c r="AK9" i="115"/>
  <c r="AH9" i="115"/>
  <c r="AJ9" i="115"/>
  <c r="AG9" i="115"/>
  <c r="AN8" i="115"/>
  <c r="AK8" i="115"/>
  <c r="AH8" i="115"/>
  <c r="AJ8" i="115"/>
  <c r="AG8" i="115"/>
  <c r="AN7" i="115"/>
  <c r="AK7" i="115"/>
  <c r="AH7" i="115"/>
  <c r="AJ7" i="115"/>
  <c r="AG7" i="115"/>
  <c r="X76" i="92"/>
  <c r="X75" i="92"/>
  <c r="X74" i="92"/>
  <c r="X73" i="92"/>
  <c r="X72" i="92"/>
  <c r="X71" i="92"/>
  <c r="X70" i="92"/>
  <c r="X69" i="92"/>
  <c r="X68" i="92"/>
  <c r="X67" i="92"/>
  <c r="X66" i="92"/>
  <c r="X65" i="92"/>
  <c r="X64" i="92"/>
  <c r="X63" i="92"/>
  <c r="X62" i="92"/>
  <c r="X61" i="92"/>
  <c r="X60" i="92"/>
  <c r="X59" i="92"/>
  <c r="X58" i="92"/>
  <c r="X57" i="92"/>
  <c r="X56" i="92"/>
  <c r="X55" i="92"/>
  <c r="X54" i="92"/>
  <c r="X53" i="92"/>
  <c r="X52" i="92"/>
  <c r="X51" i="92"/>
  <c r="X50" i="92"/>
  <c r="X49" i="92"/>
  <c r="X48" i="92"/>
  <c r="X47" i="92"/>
  <c r="X46" i="92"/>
  <c r="W76" i="92"/>
  <c r="W75" i="92"/>
  <c r="W74" i="92"/>
  <c r="W73" i="92"/>
  <c r="W72" i="92"/>
  <c r="W71" i="92"/>
  <c r="W70" i="92"/>
  <c r="W69" i="92"/>
  <c r="W68" i="92"/>
  <c r="W67" i="92"/>
  <c r="W66" i="92"/>
  <c r="W65" i="92"/>
  <c r="W64" i="92"/>
  <c r="W63" i="92"/>
  <c r="W62" i="92"/>
  <c r="W61" i="92"/>
  <c r="W60" i="92"/>
  <c r="W59" i="92"/>
  <c r="W58" i="92"/>
  <c r="W57" i="92"/>
  <c r="W56" i="92"/>
  <c r="W55" i="92"/>
  <c r="W54" i="92"/>
  <c r="W53" i="92"/>
  <c r="W52" i="92"/>
  <c r="W51" i="92"/>
  <c r="W50" i="92"/>
  <c r="W49" i="92"/>
  <c r="W48" i="92"/>
  <c r="W47" i="92"/>
  <c r="W46" i="92"/>
  <c r="V76" i="92"/>
  <c r="V75" i="92"/>
  <c r="V74" i="92"/>
  <c r="V73" i="92"/>
  <c r="V72" i="92"/>
  <c r="V71" i="92"/>
  <c r="V70" i="92"/>
  <c r="V69" i="92"/>
  <c r="V68" i="92"/>
  <c r="V67" i="92"/>
  <c r="V66" i="92"/>
  <c r="V65" i="92"/>
  <c r="V64" i="92"/>
  <c r="V63" i="92"/>
  <c r="V62" i="92"/>
  <c r="V61" i="92"/>
  <c r="V60" i="92"/>
  <c r="V59" i="92"/>
  <c r="V58" i="92"/>
  <c r="V57" i="92"/>
  <c r="V56" i="92"/>
  <c r="V55" i="92"/>
  <c r="V54" i="92"/>
  <c r="V53" i="92"/>
  <c r="V52" i="92"/>
  <c r="V51" i="92"/>
  <c r="V50" i="92"/>
  <c r="V49" i="92"/>
  <c r="V48" i="92"/>
  <c r="V47" i="92"/>
  <c r="P35" i="92"/>
  <c r="T35" i="92"/>
  <c r="AJ9" i="92"/>
  <c r="AG9" i="92"/>
  <c r="AK9" i="92"/>
  <c r="AH9" i="92"/>
  <c r="AN9" i="92"/>
  <c r="AJ10" i="92"/>
  <c r="AG10" i="92"/>
  <c r="AK10" i="92"/>
  <c r="AH10" i="92"/>
  <c r="AN10" i="92"/>
  <c r="AJ11" i="92"/>
  <c r="AG11" i="92"/>
  <c r="AK11" i="92"/>
  <c r="AH11" i="92"/>
  <c r="AN11" i="92"/>
  <c r="F21" i="105"/>
  <c r="F20" i="105"/>
  <c r="F18" i="105"/>
  <c r="F17" i="105"/>
  <c r="K23" i="77"/>
  <c r="F16" i="105"/>
  <c r="K22" i="77"/>
  <c r="K10" i="105"/>
  <c r="F10" i="105"/>
  <c r="K24" i="77"/>
  <c r="K7" i="105"/>
  <c r="F7" i="105"/>
  <c r="K9" i="105"/>
  <c r="F9" i="105"/>
  <c r="AC76" i="92"/>
  <c r="AC75" i="92"/>
  <c r="AC74" i="92"/>
  <c r="AC73" i="92"/>
  <c r="AC72" i="92"/>
  <c r="AC71" i="92"/>
  <c r="AC70" i="92"/>
  <c r="AC69" i="92"/>
  <c r="AC68" i="92"/>
  <c r="AC67" i="92"/>
  <c r="AC66" i="92"/>
  <c r="AC65" i="92"/>
  <c r="AC64" i="92"/>
  <c r="AC63" i="92"/>
  <c r="AB76" i="92"/>
  <c r="AB75" i="92"/>
  <c r="AB74" i="92"/>
  <c r="AB73" i="92"/>
  <c r="AB72" i="92"/>
  <c r="AB71" i="92"/>
  <c r="AB70" i="92"/>
  <c r="AB69" i="92"/>
  <c r="AB68" i="92"/>
  <c r="AB67" i="92"/>
  <c r="AB66" i="92"/>
  <c r="AB65" i="92"/>
  <c r="AB64" i="92"/>
  <c r="AB63" i="92"/>
  <c r="AA76" i="92"/>
  <c r="AA75" i="92"/>
  <c r="AA74" i="92"/>
  <c r="AA73" i="92"/>
  <c r="AA72" i="92"/>
  <c r="AA71" i="92"/>
  <c r="AA70" i="92"/>
  <c r="AA69" i="92"/>
  <c r="AA68" i="92"/>
  <c r="AA67" i="92"/>
  <c r="AA66" i="92"/>
  <c r="AA65" i="92"/>
  <c r="AA64" i="92"/>
  <c r="AA63" i="92"/>
  <c r="Z76" i="92"/>
  <c r="Z75" i="92"/>
  <c r="Z74" i="92"/>
  <c r="Z73" i="92"/>
  <c r="Z72" i="92"/>
  <c r="Z71" i="92"/>
  <c r="Z70" i="92"/>
  <c r="Z69" i="92"/>
  <c r="Z68" i="92"/>
  <c r="Z67" i="92"/>
  <c r="Z66" i="92"/>
  <c r="Z65" i="92"/>
  <c r="Z64" i="92"/>
  <c r="Z63" i="92"/>
  <c r="Y63" i="92"/>
  <c r="Y75" i="92"/>
  <c r="Y74" i="92"/>
  <c r="Y73" i="92"/>
  <c r="Y72" i="92"/>
  <c r="Y71" i="92"/>
  <c r="Y70" i="92"/>
  <c r="Y69" i="92"/>
  <c r="Y68" i="92"/>
  <c r="Y67" i="92"/>
  <c r="Y66" i="92"/>
  <c r="Y65" i="92"/>
  <c r="Y64" i="92"/>
  <c r="Y76" i="92"/>
  <c r="U76" i="92"/>
  <c r="U75" i="92"/>
  <c r="U74" i="92"/>
  <c r="U73" i="92"/>
  <c r="U72" i="92"/>
  <c r="U71" i="92"/>
  <c r="U70" i="92"/>
  <c r="U69" i="92"/>
  <c r="U68" i="92"/>
  <c r="U67" i="92"/>
  <c r="U66" i="92"/>
  <c r="U65" i="92"/>
  <c r="U64" i="92"/>
  <c r="U63" i="92"/>
  <c r="T76" i="92"/>
  <c r="T75" i="92"/>
  <c r="T74" i="92"/>
  <c r="T73" i="92"/>
  <c r="T72" i="92"/>
  <c r="T71" i="92"/>
  <c r="T70" i="92"/>
  <c r="T69" i="92"/>
  <c r="T68" i="92"/>
  <c r="T67" i="92"/>
  <c r="T66" i="92"/>
  <c r="T65" i="92"/>
  <c r="T64" i="92"/>
  <c r="T63" i="92"/>
  <c r="AC62" i="92"/>
  <c r="AB62" i="92"/>
  <c r="AA62" i="92"/>
  <c r="Z62" i="92"/>
  <c r="Y62" i="92"/>
  <c r="U62" i="92"/>
  <c r="AC61" i="92"/>
  <c r="AB61" i="92"/>
  <c r="AA61" i="92"/>
  <c r="Z61" i="92"/>
  <c r="Y61" i="92"/>
  <c r="U61" i="92"/>
  <c r="AC60" i="92"/>
  <c r="AB60" i="92"/>
  <c r="AA60" i="92"/>
  <c r="Z60" i="92"/>
  <c r="Y60" i="92"/>
  <c r="U60" i="92"/>
  <c r="AC59" i="92"/>
  <c r="AB59" i="92"/>
  <c r="AA59" i="92"/>
  <c r="Z59" i="92"/>
  <c r="Y59" i="92"/>
  <c r="U59" i="92"/>
  <c r="AC58" i="92"/>
  <c r="AB58" i="92"/>
  <c r="AA58" i="92"/>
  <c r="Z58" i="92"/>
  <c r="Y58" i="92"/>
  <c r="U58" i="92"/>
  <c r="AC57" i="92"/>
  <c r="AB57" i="92"/>
  <c r="AA57" i="92"/>
  <c r="Z57" i="92"/>
  <c r="Y57" i="92"/>
  <c r="U57" i="92"/>
  <c r="AC56" i="92"/>
  <c r="AB56" i="92"/>
  <c r="AA56" i="92"/>
  <c r="Z56" i="92"/>
  <c r="Y56" i="92"/>
  <c r="U56" i="92"/>
  <c r="AC55" i="92"/>
  <c r="AB55" i="92"/>
  <c r="AA55" i="92"/>
  <c r="Z55" i="92"/>
  <c r="Y55" i="92"/>
  <c r="U55" i="92"/>
  <c r="AC54" i="92"/>
  <c r="AB54" i="92"/>
  <c r="AA54" i="92"/>
  <c r="Z54" i="92"/>
  <c r="Y54" i="92"/>
  <c r="U54" i="92"/>
  <c r="AC53" i="92"/>
  <c r="AB53" i="92"/>
  <c r="AA53" i="92"/>
  <c r="Z53" i="92"/>
  <c r="Y53" i="92"/>
  <c r="U53" i="92"/>
  <c r="AC52" i="92"/>
  <c r="AB52" i="92"/>
  <c r="AA52" i="92"/>
  <c r="Z52" i="92"/>
  <c r="Y52" i="92"/>
  <c r="U52" i="92"/>
  <c r="AC51" i="92"/>
  <c r="AB51" i="92"/>
  <c r="AA51" i="92"/>
  <c r="Z51" i="92"/>
  <c r="Y51" i="92"/>
  <c r="U51" i="92"/>
  <c r="AC50" i="92"/>
  <c r="AB50" i="92"/>
  <c r="AA50" i="92"/>
  <c r="Z50" i="92"/>
  <c r="Y50" i="92"/>
  <c r="U50" i="92"/>
  <c r="AC49" i="92"/>
  <c r="AB49" i="92"/>
  <c r="AA49" i="92"/>
  <c r="Z49" i="92"/>
  <c r="Y49" i="92"/>
  <c r="U49" i="92"/>
  <c r="AC48" i="92"/>
  <c r="AB48" i="92"/>
  <c r="AA48" i="92"/>
  <c r="Z48" i="92"/>
  <c r="Y48" i="92"/>
  <c r="U48" i="92"/>
  <c r="AC47" i="92"/>
  <c r="AB47" i="92"/>
  <c r="AA47" i="92"/>
  <c r="Z47" i="92"/>
  <c r="Y47" i="92"/>
  <c r="U47" i="92"/>
  <c r="T47" i="92"/>
  <c r="AC46" i="92"/>
  <c r="AB46" i="92"/>
  <c r="AA46" i="92"/>
  <c r="Z46" i="92"/>
  <c r="Y46" i="92"/>
  <c r="T62" i="92"/>
  <c r="T61" i="92"/>
  <c r="T60" i="92"/>
  <c r="T59" i="92"/>
  <c r="T58" i="92"/>
  <c r="T57" i="92"/>
  <c r="T56" i="92"/>
  <c r="T55" i="92"/>
  <c r="T54" i="92"/>
  <c r="T53" i="92"/>
  <c r="T52" i="92"/>
  <c r="T51" i="92"/>
  <c r="T50" i="92"/>
  <c r="T49" i="92"/>
  <c r="T48" i="92"/>
  <c r="K8" i="105"/>
  <c r="F8" i="105"/>
  <c r="Q30" i="119"/>
  <c r="Y30" i="119"/>
  <c r="K17" i="105"/>
  <c r="K18" i="105"/>
  <c r="K19" i="105"/>
  <c r="F19" i="105"/>
  <c r="K20" i="105"/>
  <c r="K21" i="105"/>
  <c r="K16" i="105"/>
  <c r="F14" i="105"/>
  <c r="K20" i="77"/>
  <c r="K15" i="105"/>
  <c r="F15" i="105"/>
  <c r="K21" i="77"/>
  <c r="K13" i="105"/>
  <c r="F13" i="105"/>
  <c r="K19" i="77"/>
  <c r="K11" i="105"/>
  <c r="F11" i="105"/>
  <c r="K17" i="77"/>
  <c r="K12" i="105"/>
  <c r="F12" i="105"/>
  <c r="K18" i="77"/>
  <c r="C18" i="77"/>
  <c r="AA18" i="77"/>
  <c r="Q18" i="77"/>
  <c r="C16" i="77"/>
  <c r="I23" i="77"/>
  <c r="C24" i="77"/>
  <c r="C23" i="77"/>
  <c r="AA23" i="77"/>
  <c r="C22" i="77"/>
  <c r="C21" i="77"/>
  <c r="AA21" i="77"/>
  <c r="C20" i="77"/>
  <c r="C19" i="77"/>
  <c r="AA19" i="77"/>
  <c r="C17" i="77"/>
  <c r="AA17" i="77"/>
  <c r="AN23" i="92"/>
  <c r="AM23" i="92"/>
  <c r="Y23" i="92"/>
  <c r="AN22" i="92"/>
  <c r="AM22" i="92"/>
  <c r="Y22" i="92"/>
  <c r="L30" i="77"/>
  <c r="AN16" i="92"/>
  <c r="AK16" i="92"/>
  <c r="AH16" i="92"/>
  <c r="AJ16" i="92"/>
  <c r="AG16" i="92"/>
  <c r="AN15" i="92"/>
  <c r="AK15" i="92"/>
  <c r="AH15" i="92"/>
  <c r="AJ15" i="92"/>
  <c r="AG15" i="92"/>
  <c r="AN14" i="92"/>
  <c r="AK14" i="92"/>
  <c r="AH14" i="92"/>
  <c r="AJ14" i="92"/>
  <c r="AG14" i="92"/>
  <c r="AN13" i="92"/>
  <c r="AK13" i="92"/>
  <c r="AH13" i="92"/>
  <c r="AJ13" i="92"/>
  <c r="AG13" i="92"/>
  <c r="AN12" i="92"/>
  <c r="AK12" i="92"/>
  <c r="AH12" i="92"/>
  <c r="AJ12" i="92"/>
  <c r="AG12" i="92"/>
  <c r="AN8" i="92"/>
  <c r="AK8" i="92"/>
  <c r="AH8" i="92"/>
  <c r="AJ8" i="92"/>
  <c r="AG8" i="92"/>
  <c r="AN7" i="92"/>
  <c r="AK7" i="92"/>
  <c r="AH7" i="92"/>
  <c r="AJ7" i="92"/>
  <c r="AG7" i="92"/>
  <c r="I24" i="77"/>
  <c r="I22" i="77"/>
  <c r="I21" i="77"/>
  <c r="I20" i="77"/>
  <c r="I19" i="77"/>
  <c r="I18" i="77"/>
  <c r="I17" i="77"/>
  <c r="I16" i="77"/>
  <c r="AB7" i="77"/>
  <c r="AB10" i="77"/>
  <c r="AB9" i="77"/>
  <c r="AB8" i="77"/>
  <c r="AB6" i="77"/>
  <c r="U23" i="92"/>
  <c r="AA24" i="77"/>
  <c r="W23" i="92"/>
  <c r="W22" i="92"/>
  <c r="U22" i="92"/>
  <c r="X35" i="92"/>
  <c r="AH21" i="122"/>
  <c r="U22" i="121"/>
  <c r="U23" i="120"/>
  <c r="U24" i="120"/>
  <c r="N16" i="78"/>
  <c r="N17" i="78"/>
  <c r="U22" i="118"/>
  <c r="U24" i="118"/>
  <c r="U22" i="115"/>
  <c r="AA22" i="77"/>
  <c r="Q22" i="77"/>
  <c r="Q21" i="77"/>
  <c r="AA20" i="77"/>
  <c r="Q20" i="77"/>
  <c r="Q19" i="77"/>
  <c r="Q17" i="77"/>
  <c r="Q23" i="77"/>
  <c r="K16" i="77"/>
  <c r="AA16" i="77"/>
  <c r="Q16" i="77"/>
  <c r="Q24" i="77"/>
  <c r="O24" i="77"/>
  <c r="Q31" i="118"/>
  <c r="Y31" i="118"/>
  <c r="U24" i="121"/>
  <c r="AF22" i="122"/>
  <c r="AA22" i="122"/>
  <c r="K33" i="122"/>
  <c r="K34" i="122"/>
  <c r="AF21" i="122"/>
  <c r="AF20" i="122"/>
  <c r="AH22" i="122"/>
  <c r="M24" i="77"/>
  <c r="M20" i="77"/>
  <c r="O18" i="77"/>
  <c r="O22" i="77"/>
  <c r="M21" i="77"/>
  <c r="O21" i="77"/>
  <c r="M19" i="77"/>
  <c r="O19" i="77"/>
  <c r="U30" i="119"/>
  <c r="U22" i="117"/>
  <c r="U23" i="117"/>
  <c r="Q29" i="116"/>
  <c r="Y29" i="116"/>
  <c r="U23" i="115"/>
  <c r="AA142" i="115" a="1"/>
  <c r="AA142" i="115"/>
  <c r="AM22" i="115"/>
  <c r="Y22" i="115"/>
  <c r="AM23" i="115"/>
  <c r="Y23" i="115"/>
  <c r="Q31" i="92"/>
  <c r="Y31" i="92"/>
  <c r="Q30" i="92"/>
  <c r="Y30" i="92"/>
  <c r="Q29" i="92"/>
  <c r="U29" i="92"/>
  <c r="Z161" i="118" a="1"/>
  <c r="Z161" i="118"/>
  <c r="AM22" i="116"/>
  <c r="Y22" i="116"/>
  <c r="AM23" i="116"/>
  <c r="Y23" i="116"/>
  <c r="AM22" i="117"/>
  <c r="Y22" i="117"/>
  <c r="AM22" i="121"/>
  <c r="Y22" i="121"/>
  <c r="AM23" i="121"/>
  <c r="Y23" i="121"/>
  <c r="AM22" i="119"/>
  <c r="Y22" i="119"/>
  <c r="AM23" i="119"/>
  <c r="Y23" i="119"/>
  <c r="AM23" i="118"/>
  <c r="Y23" i="118"/>
  <c r="Q30" i="118"/>
  <c r="Y30" i="118"/>
  <c r="AM22" i="118"/>
  <c r="Y22" i="118"/>
  <c r="AM23" i="117"/>
  <c r="Y23" i="117"/>
  <c r="AM23" i="120"/>
  <c r="Y23" i="120"/>
  <c r="AM22" i="120"/>
  <c r="Y22" i="120"/>
  <c r="Z155" i="115" a="1"/>
  <c r="Z155" i="115"/>
  <c r="AC148" i="115" a="1"/>
  <c r="AC148" i="115"/>
  <c r="W160" i="115" a="1"/>
  <c r="W160" i="115"/>
  <c r="AC148" i="117" a="1"/>
  <c r="AC148" i="117"/>
  <c r="AA161" i="116" a="1"/>
  <c r="AA161" i="116"/>
  <c r="AC154" i="115" a="1"/>
  <c r="AC154" i="115"/>
  <c r="Y162" i="115" a="1"/>
  <c r="Y162" i="115"/>
  <c r="AC155" i="115" a="1"/>
  <c r="AC155" i="115"/>
  <c r="X155" i="115" a="1"/>
  <c r="X155" i="115"/>
  <c r="AB142" i="115" a="1"/>
  <c r="AB142" i="115"/>
  <c r="Z142" i="115" a="1"/>
  <c r="Z142" i="115"/>
  <c r="T144" i="120" a="1"/>
  <c r="T144" i="120"/>
  <c r="AB143" i="119" a="1"/>
  <c r="AB143" i="119"/>
  <c r="Z161" i="119" a="1"/>
  <c r="Z161" i="119"/>
  <c r="Y160" i="117" a="1"/>
  <c r="Y160" i="117"/>
  <c r="Z154" i="115" a="1"/>
  <c r="Z154" i="115"/>
  <c r="AB143" i="115" a="1"/>
  <c r="AB143" i="115"/>
  <c r="AC163" i="115" a="1"/>
  <c r="AC163" i="115"/>
  <c r="Y150" i="115" a="1"/>
  <c r="Y150" i="115"/>
  <c r="W148" i="115" a="1"/>
  <c r="W148" i="115"/>
  <c r="Z162" i="115" a="1"/>
  <c r="Z162" i="115"/>
  <c r="Y142" i="115" a="1"/>
  <c r="Y142" i="115"/>
  <c r="AC161" i="115" a="1"/>
  <c r="AC161" i="115"/>
  <c r="AC149" i="115" a="1"/>
  <c r="AC149" i="115"/>
  <c r="AB160" i="115" a="1"/>
  <c r="AB160" i="115"/>
  <c r="AB160" i="121" a="1"/>
  <c r="AB160" i="121"/>
  <c r="Y155" i="119" a="1"/>
  <c r="Y155" i="119"/>
  <c r="AC156" i="119" a="1"/>
  <c r="AC156" i="119"/>
  <c r="AA161" i="118" a="1"/>
  <c r="AA161" i="118"/>
  <c r="V143" i="117" a="1"/>
  <c r="V143" i="117"/>
  <c r="Z162" i="117" a="1"/>
  <c r="Z162" i="117"/>
  <c r="X156" i="115" a="1"/>
  <c r="X156" i="115"/>
  <c r="AC151" i="115" a="1"/>
  <c r="AC151" i="115"/>
  <c r="Y149" i="115" a="1"/>
  <c r="Y149" i="115"/>
  <c r="V144" i="115" a="1"/>
  <c r="V144" i="115"/>
  <c r="U154" i="115" a="1"/>
  <c r="U154" i="115"/>
  <c r="W161" i="115" a="1"/>
  <c r="W161" i="115"/>
  <c r="Y160" i="115" a="1"/>
  <c r="Y160" i="115"/>
  <c r="W150" i="115" a="1"/>
  <c r="W150" i="115"/>
  <c r="Z150" i="115" a="1"/>
  <c r="Z150" i="115"/>
  <c r="W156" i="115" a="1"/>
  <c r="W156" i="115"/>
  <c r="U148" i="115" a="1"/>
  <c r="U148" i="115"/>
  <c r="U142" i="115" a="1"/>
  <c r="U142" i="115"/>
  <c r="U154" i="116" a="1"/>
  <c r="U154" i="116"/>
  <c r="T148" i="117" a="1"/>
  <c r="T148" i="117"/>
  <c r="V154" i="117" a="1"/>
  <c r="V154" i="117"/>
  <c r="U142" i="120" a="1"/>
  <c r="U142" i="120"/>
  <c r="U143" i="115" a="1"/>
  <c r="U143" i="115"/>
  <c r="U160" i="115" a="1"/>
  <c r="U160" i="115"/>
  <c r="U162" i="115" a="1"/>
  <c r="U162" i="115"/>
  <c r="V154" i="115" a="1"/>
  <c r="V154" i="115"/>
  <c r="U149" i="115" a="1"/>
  <c r="U149" i="115"/>
  <c r="U161" i="115" a="1"/>
  <c r="U161" i="115"/>
  <c r="V160" i="115" a="1"/>
  <c r="V160" i="115"/>
  <c r="K35" i="92"/>
  <c r="U162" i="121" a="1"/>
  <c r="U162" i="121"/>
  <c r="V150" i="121" a="1"/>
  <c r="V150" i="121"/>
  <c r="V154" i="121" a="1"/>
  <c r="V154" i="121"/>
  <c r="T158" i="77" a="1"/>
  <c r="T158" i="77"/>
  <c r="T152" i="77" a="1"/>
  <c r="T152" i="77"/>
  <c r="T146" i="77" a="1"/>
  <c r="T146" i="77"/>
  <c r="T140" i="77" a="1"/>
  <c r="T140" i="77"/>
  <c r="S158" i="77" a="1"/>
  <c r="S158" i="77"/>
  <c r="S152" i="77" a="1"/>
  <c r="S152" i="77"/>
  <c r="S146" i="77" a="1"/>
  <c r="S146" i="77"/>
  <c r="S140" i="77" a="1"/>
  <c r="S140" i="77"/>
  <c r="U158" i="77" a="1"/>
  <c r="U158" i="77"/>
  <c r="U152" i="77" a="1"/>
  <c r="U152" i="77"/>
  <c r="U146" i="77" a="1"/>
  <c r="U146" i="77"/>
  <c r="U140" i="77" a="1"/>
  <c r="U140" i="77"/>
  <c r="W152" i="77" a="1"/>
  <c r="W152" i="77"/>
  <c r="W140" i="77" a="1"/>
  <c r="W140" i="77"/>
  <c r="W158" i="77" a="1"/>
  <c r="W158" i="77"/>
  <c r="W146" i="77" a="1"/>
  <c r="W146" i="77"/>
  <c r="W145" i="121" a="1"/>
  <c r="W145" i="121"/>
  <c r="W157" i="121" a="1"/>
  <c r="W157" i="121"/>
  <c r="W163" i="121" a="1"/>
  <c r="W163" i="121"/>
  <c r="W151" i="121" a="1"/>
  <c r="W151" i="121"/>
  <c r="AA145" i="121" a="1"/>
  <c r="AA145" i="121"/>
  <c r="AA163" i="121" a="1"/>
  <c r="AA163" i="121"/>
  <c r="AA151" i="121" a="1"/>
  <c r="AA151" i="121"/>
  <c r="AA157" i="121" a="1"/>
  <c r="AA157" i="121"/>
  <c r="X151" i="121" a="1"/>
  <c r="X151" i="121"/>
  <c r="X157" i="121" a="1"/>
  <c r="X157" i="121"/>
  <c r="X163" i="121" a="1"/>
  <c r="X163" i="121"/>
  <c r="X145" i="121" a="1"/>
  <c r="X145" i="121"/>
  <c r="AC155" i="121" a="1"/>
  <c r="AC155" i="121"/>
  <c r="AA150" i="121" a="1"/>
  <c r="AA150" i="121"/>
  <c r="U157" i="121" a="1"/>
  <c r="U157" i="121"/>
  <c r="U163" i="121" a="1"/>
  <c r="U163" i="121"/>
  <c r="U151" i="121" a="1"/>
  <c r="U151" i="121"/>
  <c r="U145" i="121" a="1"/>
  <c r="U145" i="121"/>
  <c r="Y157" i="121" a="1"/>
  <c r="Y157" i="121"/>
  <c r="Y145" i="121" a="1"/>
  <c r="Y145" i="121"/>
  <c r="Y163" i="121" a="1"/>
  <c r="Y163" i="121"/>
  <c r="Y151" i="121" a="1"/>
  <c r="Y151" i="121"/>
  <c r="T163" i="121" a="1"/>
  <c r="T163" i="121"/>
  <c r="T145" i="121" a="1"/>
  <c r="T145" i="121"/>
  <c r="T157" i="121" a="1"/>
  <c r="T157" i="121"/>
  <c r="T151" i="121" a="1"/>
  <c r="T151" i="121"/>
  <c r="AB163" i="121" a="1"/>
  <c r="AB163" i="121"/>
  <c r="AB157" i="121" a="1"/>
  <c r="AB157" i="121"/>
  <c r="AB145" i="121" a="1"/>
  <c r="AB145" i="121"/>
  <c r="AB151" i="121" a="1"/>
  <c r="AB151" i="121"/>
  <c r="U150" i="121" a="1"/>
  <c r="U150" i="121"/>
  <c r="V148" i="121" a="1"/>
  <c r="V148" i="121"/>
  <c r="V163" i="121" a="1"/>
  <c r="V163" i="121"/>
  <c r="V151" i="121" a="1"/>
  <c r="V151" i="121"/>
  <c r="V145" i="121" a="1"/>
  <c r="V145" i="121"/>
  <c r="V157" i="121" a="1"/>
  <c r="V157" i="121"/>
  <c r="Z143" i="121" a="1"/>
  <c r="Z143" i="121"/>
  <c r="Z151" i="121" a="1"/>
  <c r="Z151" i="121"/>
  <c r="Z163" i="121" a="1"/>
  <c r="Z163" i="121"/>
  <c r="Z145" i="121" a="1"/>
  <c r="Z145" i="121"/>
  <c r="Z157" i="121" a="1"/>
  <c r="Z157" i="121"/>
  <c r="T142" i="121" a="1"/>
  <c r="T142" i="121"/>
  <c r="X156" i="121" a="1"/>
  <c r="X156" i="121"/>
  <c r="AB161" i="121" a="1"/>
  <c r="AB161" i="121"/>
  <c r="W151" i="120" a="1"/>
  <c r="W151" i="120"/>
  <c r="W145" i="120" a="1"/>
  <c r="W145" i="120"/>
  <c r="W163" i="120" a="1"/>
  <c r="W163" i="120"/>
  <c r="W157" i="120" a="1"/>
  <c r="W157" i="120"/>
  <c r="T155" i="120" a="1"/>
  <c r="T155" i="120"/>
  <c r="U151" i="120" a="1"/>
  <c r="U151" i="120"/>
  <c r="U145" i="120" a="1"/>
  <c r="U145" i="120"/>
  <c r="U163" i="120" a="1"/>
  <c r="U163" i="120"/>
  <c r="U157" i="120" a="1"/>
  <c r="U157" i="120"/>
  <c r="Y163" i="120" a="1"/>
  <c r="Y163" i="120"/>
  <c r="Y157" i="120" a="1"/>
  <c r="Y157" i="120"/>
  <c r="Y151" i="120" a="1"/>
  <c r="Y151" i="120"/>
  <c r="Y145" i="120" a="1"/>
  <c r="Y145" i="120"/>
  <c r="V151" i="120" a="1"/>
  <c r="V151" i="120"/>
  <c r="V145" i="120" a="1"/>
  <c r="V145" i="120"/>
  <c r="V163" i="120" a="1"/>
  <c r="V163" i="120"/>
  <c r="V157" i="120" a="1"/>
  <c r="V157" i="120"/>
  <c r="Z145" i="120" a="1"/>
  <c r="Z145" i="120"/>
  <c r="Z163" i="120" a="1"/>
  <c r="Z163" i="120"/>
  <c r="Z157" i="120" a="1"/>
  <c r="Z157" i="120"/>
  <c r="Z151" i="120" a="1"/>
  <c r="Z151" i="120"/>
  <c r="AA151" i="120" a="1"/>
  <c r="AA151" i="120"/>
  <c r="AA145" i="120" a="1"/>
  <c r="AA145" i="120"/>
  <c r="AA163" i="120" a="1"/>
  <c r="AA163" i="120"/>
  <c r="AA157" i="120" a="1"/>
  <c r="AA157" i="120"/>
  <c r="T161" i="120" a="1"/>
  <c r="T161" i="120"/>
  <c r="T163" i="120" a="1"/>
  <c r="T163" i="120"/>
  <c r="T157" i="120" a="1"/>
  <c r="T157" i="120"/>
  <c r="T151" i="120" a="1"/>
  <c r="T151" i="120"/>
  <c r="T145" i="120" a="1"/>
  <c r="T145" i="120"/>
  <c r="X160" i="120" a="1"/>
  <c r="X160" i="120"/>
  <c r="X163" i="120" a="1"/>
  <c r="X163" i="120"/>
  <c r="X157" i="120" a="1"/>
  <c r="X157" i="120"/>
  <c r="X151" i="120" a="1"/>
  <c r="X151" i="120"/>
  <c r="X145" i="120" a="1"/>
  <c r="X145" i="120"/>
  <c r="AB157" i="120" a="1"/>
  <c r="AB157" i="120"/>
  <c r="AB151" i="120" a="1"/>
  <c r="AB151" i="120"/>
  <c r="AB163" i="120" a="1"/>
  <c r="AB163" i="120"/>
  <c r="AB145" i="120" a="1"/>
  <c r="AB145" i="120"/>
  <c r="V144" i="120" a="1"/>
  <c r="V144" i="120"/>
  <c r="Z142" i="120" a="1"/>
  <c r="Z142" i="120"/>
  <c r="T157" i="119" a="1"/>
  <c r="T157" i="119"/>
  <c r="T151" i="119" a="1"/>
  <c r="T151" i="119"/>
  <c r="T163" i="119" a="1"/>
  <c r="T163" i="119"/>
  <c r="T145" i="119" a="1"/>
  <c r="T145" i="119"/>
  <c r="X162" i="119" a="1"/>
  <c r="X162" i="119"/>
  <c r="X157" i="119" a="1"/>
  <c r="X157" i="119"/>
  <c r="X151" i="119" a="1"/>
  <c r="X151" i="119"/>
  <c r="X163" i="119" a="1"/>
  <c r="X163" i="119"/>
  <c r="X145" i="119" a="1"/>
  <c r="X145" i="119"/>
  <c r="AB151" i="119" a="1"/>
  <c r="AB151" i="119"/>
  <c r="AB163" i="119" a="1"/>
  <c r="AB163" i="119"/>
  <c r="AB145" i="119" a="1"/>
  <c r="AB145" i="119"/>
  <c r="AB157" i="119" a="1"/>
  <c r="AB157" i="119"/>
  <c r="U163" i="119" a="1"/>
  <c r="U163" i="119"/>
  <c r="U145" i="119" a="1"/>
  <c r="U145" i="119"/>
  <c r="U157" i="119" a="1"/>
  <c r="U157" i="119"/>
  <c r="U151" i="119" a="1"/>
  <c r="U151" i="119"/>
  <c r="Y163" i="119" a="1"/>
  <c r="Y163" i="119"/>
  <c r="Y145" i="119" a="1"/>
  <c r="Y145" i="119"/>
  <c r="Y157" i="119" a="1"/>
  <c r="Y157" i="119"/>
  <c r="Y151" i="119" a="1"/>
  <c r="Y151" i="119"/>
  <c r="Z150" i="119" a="1"/>
  <c r="Z150" i="119"/>
  <c r="T154" i="119" a="1"/>
  <c r="T154" i="119"/>
  <c r="X144" i="119" a="1"/>
  <c r="X144" i="119"/>
  <c r="W148" i="119" a="1"/>
  <c r="W148" i="119"/>
  <c r="W157" i="119" a="1"/>
  <c r="W157" i="119"/>
  <c r="W151" i="119" a="1"/>
  <c r="W151" i="119"/>
  <c r="W163" i="119" a="1"/>
  <c r="W163" i="119"/>
  <c r="W145" i="119" a="1"/>
  <c r="W145" i="119"/>
  <c r="AA143" i="119" a="1"/>
  <c r="AA143" i="119"/>
  <c r="AA157" i="119" a="1"/>
  <c r="AA157" i="119"/>
  <c r="AA151" i="119" a="1"/>
  <c r="AA151" i="119"/>
  <c r="AA163" i="119" a="1"/>
  <c r="AA163" i="119"/>
  <c r="AA145" i="119" a="1"/>
  <c r="AA145" i="119"/>
  <c r="Y161" i="119" a="1"/>
  <c r="Y161" i="119"/>
  <c r="V157" i="119" a="1"/>
  <c r="V157" i="119"/>
  <c r="V151" i="119" a="1"/>
  <c r="V151" i="119"/>
  <c r="V163" i="119" a="1"/>
  <c r="V163" i="119"/>
  <c r="V145" i="119" a="1"/>
  <c r="V145" i="119"/>
  <c r="Z145" i="119" a="1"/>
  <c r="Z145" i="119"/>
  <c r="Z157" i="119" a="1"/>
  <c r="Z157" i="119"/>
  <c r="Z151" i="119" a="1"/>
  <c r="Z151" i="119"/>
  <c r="Z163" i="119" a="1"/>
  <c r="Z163" i="119"/>
  <c r="U145" i="118" a="1"/>
  <c r="U145" i="118"/>
  <c r="U163" i="118" a="1"/>
  <c r="U163" i="118"/>
  <c r="U151" i="118" a="1"/>
  <c r="U151" i="118"/>
  <c r="U157" i="118" a="1"/>
  <c r="U157" i="118"/>
  <c r="Y151" i="118" a="1"/>
  <c r="Y151" i="118"/>
  <c r="Y157" i="118" a="1"/>
  <c r="Y157" i="118"/>
  <c r="Y163" i="118" a="1"/>
  <c r="Y163" i="118"/>
  <c r="Y145" i="118" a="1"/>
  <c r="Y145" i="118"/>
  <c r="V157" i="118" a="1"/>
  <c r="V157" i="118"/>
  <c r="V151" i="118" a="1"/>
  <c r="V151" i="118"/>
  <c r="V163" i="118" a="1"/>
  <c r="V163" i="118"/>
  <c r="V145" i="118" a="1"/>
  <c r="V145" i="118"/>
  <c r="Z145" i="118" a="1"/>
  <c r="Z145" i="118"/>
  <c r="Z157" i="118" a="1"/>
  <c r="Z157" i="118"/>
  <c r="Z151" i="118" a="1"/>
  <c r="Z151" i="118"/>
  <c r="Z163" i="118" a="1"/>
  <c r="Z163" i="118"/>
  <c r="AC143" i="118" a="1"/>
  <c r="AC143" i="118"/>
  <c r="W163" i="118" a="1"/>
  <c r="W163" i="118"/>
  <c r="W151" i="118" a="1"/>
  <c r="W151" i="118"/>
  <c r="W145" i="118" a="1"/>
  <c r="W145" i="118"/>
  <c r="W157" i="118" a="1"/>
  <c r="W157" i="118"/>
  <c r="AA163" i="118" a="1"/>
  <c r="AA163" i="118"/>
  <c r="AA157" i="118" a="1"/>
  <c r="AA157" i="118"/>
  <c r="AA151" i="118" a="1"/>
  <c r="AA151" i="118"/>
  <c r="AA145" i="118" a="1"/>
  <c r="AA145" i="118"/>
  <c r="T151" i="118" a="1"/>
  <c r="T151" i="118"/>
  <c r="T145" i="118" a="1"/>
  <c r="T145" i="118"/>
  <c r="T157" i="118" a="1"/>
  <c r="T157" i="118"/>
  <c r="T163" i="118" a="1"/>
  <c r="T163" i="118"/>
  <c r="AB163" i="118" a="1"/>
  <c r="AB163" i="118"/>
  <c r="AB145" i="118" a="1"/>
  <c r="AB145" i="118"/>
  <c r="AB157" i="118" a="1"/>
  <c r="AB157" i="118"/>
  <c r="AB151" i="118" a="1"/>
  <c r="AB151" i="118"/>
  <c r="V150" i="118" a="1"/>
  <c r="V150" i="118"/>
  <c r="T157" i="117" a="1"/>
  <c r="T157" i="117"/>
  <c r="T145" i="117" a="1"/>
  <c r="T145" i="117"/>
  <c r="T163" i="117" a="1"/>
  <c r="T163" i="117"/>
  <c r="T151" i="117" a="1"/>
  <c r="T151" i="117"/>
  <c r="W151" i="117" a="1"/>
  <c r="W151" i="117"/>
  <c r="W145" i="117" a="1"/>
  <c r="W145" i="117"/>
  <c r="W157" i="117" a="1"/>
  <c r="W157" i="117"/>
  <c r="W163" i="117" a="1"/>
  <c r="W163" i="117"/>
  <c r="AA157" i="117" a="1"/>
  <c r="AA157" i="117"/>
  <c r="AA151" i="117" a="1"/>
  <c r="AA151" i="117"/>
  <c r="AA163" i="117" a="1"/>
  <c r="AA163" i="117"/>
  <c r="AA145" i="117" a="1"/>
  <c r="AA145" i="117"/>
  <c r="AB163" i="117" a="1"/>
  <c r="AB163" i="117"/>
  <c r="AB157" i="117" a="1"/>
  <c r="AB157" i="117"/>
  <c r="AB145" i="117" a="1"/>
  <c r="AB145" i="117"/>
  <c r="AB151" i="117" a="1"/>
  <c r="AB151" i="117"/>
  <c r="AB155" i="117" a="1"/>
  <c r="AB155" i="117"/>
  <c r="U163" i="117" a="1"/>
  <c r="U163" i="117"/>
  <c r="U151" i="117" a="1"/>
  <c r="U151" i="117"/>
  <c r="U157" i="117" a="1"/>
  <c r="U157" i="117"/>
  <c r="U145" i="117" a="1"/>
  <c r="U145" i="117"/>
  <c r="Y145" i="117" a="1"/>
  <c r="Y145" i="117"/>
  <c r="Y151" i="117" a="1"/>
  <c r="Y151" i="117"/>
  <c r="Y163" i="117" a="1"/>
  <c r="Y163" i="117"/>
  <c r="Y157" i="117" a="1"/>
  <c r="Y157" i="117"/>
  <c r="Y150" i="117" a="1"/>
  <c r="Y150" i="117"/>
  <c r="X157" i="117" a="1"/>
  <c r="X157" i="117"/>
  <c r="X163" i="117" a="1"/>
  <c r="X163" i="117"/>
  <c r="X145" i="117" a="1"/>
  <c r="X145" i="117"/>
  <c r="X151" i="117" a="1"/>
  <c r="X151" i="117"/>
  <c r="T161" i="117" a="1"/>
  <c r="T161" i="117"/>
  <c r="V163" i="117" a="1"/>
  <c r="V163" i="117"/>
  <c r="V151" i="117" a="1"/>
  <c r="V151" i="117"/>
  <c r="V157" i="117" a="1"/>
  <c r="V157" i="117"/>
  <c r="V145" i="117" a="1"/>
  <c r="V145" i="117"/>
  <c r="Z157" i="117" a="1"/>
  <c r="Z157" i="117"/>
  <c r="Z151" i="117" a="1"/>
  <c r="Z151" i="117"/>
  <c r="Z163" i="117" a="1"/>
  <c r="Z163" i="117"/>
  <c r="Z145" i="117" a="1"/>
  <c r="Z145" i="117"/>
  <c r="V163" i="116" a="1"/>
  <c r="V163" i="116"/>
  <c r="V145" i="116" a="1"/>
  <c r="V145" i="116"/>
  <c r="V157" i="116" a="1"/>
  <c r="V157" i="116"/>
  <c r="V151" i="116" a="1"/>
  <c r="V151" i="116"/>
  <c r="W157" i="116" a="1"/>
  <c r="W157" i="116"/>
  <c r="W151" i="116" a="1"/>
  <c r="W151" i="116"/>
  <c r="W163" i="116" a="1"/>
  <c r="W163" i="116"/>
  <c r="W145" i="116" a="1"/>
  <c r="W145" i="116"/>
  <c r="AA163" i="116" a="1"/>
  <c r="AA163" i="116"/>
  <c r="AA157" i="116" a="1"/>
  <c r="AA157" i="116"/>
  <c r="AA151" i="116" a="1"/>
  <c r="AA151" i="116"/>
  <c r="AA145" i="116" a="1"/>
  <c r="AA145" i="116"/>
  <c r="U150" i="116" a="1"/>
  <c r="U150" i="116"/>
  <c r="U163" i="116" a="1"/>
  <c r="U163" i="116"/>
  <c r="U157" i="116" a="1"/>
  <c r="U157" i="116"/>
  <c r="U151" i="116" a="1"/>
  <c r="U151" i="116"/>
  <c r="U145" i="116" a="1"/>
  <c r="U145" i="116"/>
  <c r="Y143" i="116" a="1"/>
  <c r="Y143" i="116"/>
  <c r="Y163" i="116" a="1"/>
  <c r="Y163" i="116"/>
  <c r="Y145" i="116" a="1"/>
  <c r="Y145" i="116"/>
  <c r="Y157" i="116" a="1"/>
  <c r="Y157" i="116"/>
  <c r="Y151" i="116" a="1"/>
  <c r="Y151" i="116"/>
  <c r="Z163" i="116" a="1"/>
  <c r="Z163" i="116"/>
  <c r="Z157" i="116" a="1"/>
  <c r="Z157" i="116"/>
  <c r="Z151" i="116" a="1"/>
  <c r="Z151" i="116"/>
  <c r="Z145" i="116" a="1"/>
  <c r="Z145" i="116"/>
  <c r="T144" i="116" a="1"/>
  <c r="T144" i="116"/>
  <c r="T157" i="116" a="1"/>
  <c r="T157" i="116"/>
  <c r="T151" i="116" a="1"/>
  <c r="T151" i="116"/>
  <c r="T163" i="116" a="1"/>
  <c r="T163" i="116"/>
  <c r="T145" i="116" a="1"/>
  <c r="T145" i="116"/>
  <c r="X154" i="116" a="1"/>
  <c r="X154" i="116"/>
  <c r="X157" i="116" a="1"/>
  <c r="X157" i="116"/>
  <c r="X151" i="116" a="1"/>
  <c r="X151" i="116"/>
  <c r="X145" i="116" a="1"/>
  <c r="X145" i="116"/>
  <c r="X163" i="116" a="1"/>
  <c r="X163" i="116"/>
  <c r="AB157" i="116" a="1"/>
  <c r="AB157" i="116"/>
  <c r="AB151" i="116" a="1"/>
  <c r="AB151" i="116"/>
  <c r="AB163" i="116" a="1"/>
  <c r="AB163" i="116"/>
  <c r="AB145" i="116" a="1"/>
  <c r="AB145" i="116"/>
  <c r="V150" i="116" a="1"/>
  <c r="V150" i="116"/>
  <c r="Z160" i="116" a="1"/>
  <c r="Z160" i="116"/>
  <c r="W151" i="115" a="1"/>
  <c r="W151" i="115"/>
  <c r="W163" i="115" a="1"/>
  <c r="W163" i="115"/>
  <c r="W157" i="115" a="1"/>
  <c r="W157" i="115"/>
  <c r="W145" i="115" a="1"/>
  <c r="W145" i="115"/>
  <c r="AA163" i="115" a="1"/>
  <c r="AA163" i="115"/>
  <c r="AA151" i="115" a="1"/>
  <c r="AA151" i="115"/>
  <c r="AA157" i="115" a="1"/>
  <c r="AA157" i="115"/>
  <c r="AA145" i="115" a="1"/>
  <c r="AA145" i="115"/>
  <c r="T154" i="115" a="1"/>
  <c r="T154" i="115"/>
  <c r="T163" i="115" a="1"/>
  <c r="T163" i="115"/>
  <c r="T151" i="115" a="1"/>
  <c r="T151" i="115"/>
  <c r="T157" i="115" a="1"/>
  <c r="T157" i="115"/>
  <c r="T145" i="115" a="1"/>
  <c r="T145" i="115"/>
  <c r="X161" i="115" a="1"/>
  <c r="X161" i="115"/>
  <c r="X163" i="115" a="1"/>
  <c r="X163" i="115"/>
  <c r="X157" i="115" a="1"/>
  <c r="X157" i="115"/>
  <c r="X145" i="115" a="1"/>
  <c r="X145" i="115"/>
  <c r="X151" i="115" a="1"/>
  <c r="X151" i="115"/>
  <c r="AB149" i="115" a="1"/>
  <c r="AB149" i="115"/>
  <c r="AB157" i="115" a="1"/>
  <c r="AB157" i="115"/>
  <c r="AB145" i="115" a="1"/>
  <c r="AB145" i="115"/>
  <c r="AB151" i="115" a="1"/>
  <c r="AB151" i="115"/>
  <c r="AB163" i="115" a="1"/>
  <c r="AB163" i="115"/>
  <c r="X160" i="115" a="1"/>
  <c r="X160" i="115"/>
  <c r="U157" i="115" a="1"/>
  <c r="U157" i="115"/>
  <c r="U145" i="115" a="1"/>
  <c r="U145" i="115"/>
  <c r="U163" i="115" a="1"/>
  <c r="U163" i="115"/>
  <c r="U151" i="115" a="1"/>
  <c r="U151" i="115"/>
  <c r="Y155" i="115" a="1"/>
  <c r="Y155" i="115"/>
  <c r="Y157" i="115" a="1"/>
  <c r="Y157" i="115"/>
  <c r="Y145" i="115" a="1"/>
  <c r="Y145" i="115"/>
  <c r="Y151" i="115" a="1"/>
  <c r="Y151" i="115"/>
  <c r="Y163" i="115" a="1"/>
  <c r="Y163" i="115"/>
  <c r="W142" i="115" a="1"/>
  <c r="W142" i="115"/>
  <c r="AB162" i="115" a="1"/>
  <c r="AB162" i="115"/>
  <c r="V145" i="115" a="1"/>
  <c r="V145" i="115"/>
  <c r="V151" i="115" a="1"/>
  <c r="V151" i="115"/>
  <c r="V163" i="115" a="1"/>
  <c r="V163" i="115"/>
  <c r="V157" i="115" a="1"/>
  <c r="V157" i="115"/>
  <c r="Z157" i="115" a="1"/>
  <c r="Z157" i="115"/>
  <c r="Z163" i="115" a="1"/>
  <c r="Z163" i="115"/>
  <c r="Z151" i="115" a="1"/>
  <c r="Z151" i="115"/>
  <c r="Z145" i="115" a="1"/>
  <c r="Z145" i="115"/>
  <c r="AC157" i="92" a="1"/>
  <c r="AC157" i="92"/>
  <c r="Z145" i="92" a="1"/>
  <c r="Z145" i="92"/>
  <c r="Z163" i="92" a="1"/>
  <c r="Z163" i="92"/>
  <c r="Z157" i="92" a="1"/>
  <c r="Z157" i="92"/>
  <c r="Z151" i="92" a="1"/>
  <c r="Z151" i="92"/>
  <c r="Y163" i="92" a="1"/>
  <c r="Y163" i="92"/>
  <c r="Y157" i="92" a="1"/>
  <c r="Y157" i="92"/>
  <c r="Y151" i="92" a="1"/>
  <c r="Y151" i="92"/>
  <c r="Y145" i="92" a="1"/>
  <c r="Y145" i="92"/>
  <c r="AA145" i="92" a="1"/>
  <c r="AA145" i="92"/>
  <c r="AA151" i="92" a="1"/>
  <c r="AA151" i="92"/>
  <c r="AA163" i="92" a="1"/>
  <c r="AA163" i="92"/>
  <c r="AA157" i="92" a="1"/>
  <c r="AA157" i="92"/>
  <c r="T163" i="92" a="1"/>
  <c r="T163" i="92"/>
  <c r="T157" i="92" a="1"/>
  <c r="T157" i="92"/>
  <c r="T151" i="92" a="1"/>
  <c r="T151" i="92"/>
  <c r="T145" i="92" a="1"/>
  <c r="T145" i="92"/>
  <c r="U163" i="92" a="1"/>
  <c r="U163" i="92"/>
  <c r="U157" i="92" a="1"/>
  <c r="U157" i="92"/>
  <c r="U151" i="92" a="1"/>
  <c r="U151" i="92"/>
  <c r="U145" i="92" a="1"/>
  <c r="U145" i="92"/>
  <c r="AB163" i="92" a="1"/>
  <c r="AB163" i="92"/>
  <c r="AB151" i="92" a="1"/>
  <c r="AB151" i="92"/>
  <c r="AB157" i="92" a="1"/>
  <c r="AB157" i="92"/>
  <c r="AB145" i="92" a="1"/>
  <c r="AB145" i="92"/>
  <c r="V163" i="92" a="1"/>
  <c r="V163" i="92"/>
  <c r="V157" i="92" a="1"/>
  <c r="V157" i="92"/>
  <c r="V151" i="92" a="1"/>
  <c r="V151" i="92"/>
  <c r="V145" i="92" a="1"/>
  <c r="V145" i="92"/>
  <c r="W145" i="92" a="1"/>
  <c r="W145" i="92"/>
  <c r="W163" i="92" a="1"/>
  <c r="W163" i="92"/>
  <c r="W157" i="92" a="1"/>
  <c r="W157" i="92"/>
  <c r="W151" i="92" a="1"/>
  <c r="W151" i="92"/>
  <c r="X145" i="92" a="1"/>
  <c r="X145" i="92"/>
  <c r="X151" i="92" a="1"/>
  <c r="X151" i="92"/>
  <c r="X163" i="92" a="1"/>
  <c r="X163" i="92"/>
  <c r="X157" i="92" a="1"/>
  <c r="X157" i="92"/>
  <c r="W24" i="121"/>
  <c r="U24" i="116"/>
  <c r="W24" i="116"/>
  <c r="W24" i="115"/>
  <c r="X163" i="118" a="1"/>
  <c r="X163" i="118"/>
  <c r="X157" i="118" a="1"/>
  <c r="X157" i="118"/>
  <c r="X145" i="118" a="1"/>
  <c r="X145" i="118"/>
  <c r="X151" i="118" a="1"/>
  <c r="X151" i="118"/>
  <c r="V146" i="77" a="1"/>
  <c r="V146" i="77"/>
  <c r="V152" i="77" a="1"/>
  <c r="V152" i="77"/>
  <c r="V158" i="77" a="1"/>
  <c r="V158" i="77"/>
  <c r="V140" i="77" a="1"/>
  <c r="V140" i="77"/>
  <c r="AA143" i="115" a="1"/>
  <c r="AA143" i="115"/>
  <c r="O23" i="77"/>
  <c r="O20" i="77"/>
  <c r="P30" i="77"/>
  <c r="M23" i="77"/>
  <c r="T138" i="77" a="1"/>
  <c r="T138" i="77"/>
  <c r="W157" i="77" a="1"/>
  <c r="W157" i="77"/>
  <c r="U137" i="77" a="1"/>
  <c r="U137" i="77"/>
  <c r="V149" i="77" a="1"/>
  <c r="V149" i="77"/>
  <c r="T139" i="77" a="1"/>
  <c r="T139" i="77"/>
  <c r="V137" i="77" a="1"/>
  <c r="V137" i="77"/>
  <c r="T155" i="77" a="1"/>
  <c r="T155" i="77"/>
  <c r="U144" i="77" a="1"/>
  <c r="U144" i="77"/>
  <c r="V151" i="77" a="1"/>
  <c r="V151" i="77"/>
  <c r="AA148" i="115" a="1"/>
  <c r="AA148" i="115"/>
  <c r="AA156" i="115" a="1"/>
  <c r="AA156" i="115"/>
  <c r="AA162" i="115" a="1"/>
  <c r="AA162" i="115"/>
  <c r="AA161" i="115" a="1"/>
  <c r="AA161" i="115"/>
  <c r="AA150" i="115" a="1"/>
  <c r="AA150" i="115"/>
  <c r="AA149" i="115" a="1"/>
  <c r="AA149" i="115"/>
  <c r="AC163" i="121" a="1"/>
  <c r="AC163" i="121"/>
  <c r="AB154" i="121" a="1"/>
  <c r="AB154" i="121"/>
  <c r="U149" i="121" a="1"/>
  <c r="U149" i="121"/>
  <c r="X162" i="121" a="1"/>
  <c r="X162" i="121"/>
  <c r="Y155" i="121" a="1"/>
  <c r="Y155" i="121"/>
  <c r="AC160" i="121" a="1"/>
  <c r="AC160" i="121"/>
  <c r="Y161" i="121" a="1"/>
  <c r="Y161" i="121"/>
  <c r="AB148" i="121" a="1"/>
  <c r="AB148" i="121"/>
  <c r="W144" i="121" a="1"/>
  <c r="W144" i="121"/>
  <c r="AA156" i="121" a="1"/>
  <c r="AA156" i="121"/>
  <c r="AB155" i="121" a="1"/>
  <c r="AB155" i="121"/>
  <c r="X142" i="120" a="1"/>
  <c r="X142" i="120"/>
  <c r="AC154" i="120" a="1"/>
  <c r="AC154" i="120"/>
  <c r="W149" i="120" a="1"/>
  <c r="W149" i="120"/>
  <c r="AA162" i="120" a="1"/>
  <c r="AA162" i="120"/>
  <c r="U143" i="120" a="1"/>
  <c r="U143" i="120"/>
  <c r="T149" i="120" a="1"/>
  <c r="T149" i="120"/>
  <c r="Z143" i="119" a="1"/>
  <c r="Z143" i="119"/>
  <c r="V154" i="119" a="1"/>
  <c r="V154" i="119"/>
  <c r="T148" i="119" a="1"/>
  <c r="T148" i="119"/>
  <c r="X142" i="119" a="1"/>
  <c r="X142" i="119"/>
  <c r="AB148" i="119" a="1"/>
  <c r="AB148" i="119"/>
  <c r="V150" i="119" a="1"/>
  <c r="V150" i="119"/>
  <c r="W142" i="118" a="1"/>
  <c r="W142" i="118"/>
  <c r="U149" i="118" a="1"/>
  <c r="U149" i="118"/>
  <c r="AA155" i="118" a="1"/>
  <c r="AA155" i="118"/>
  <c r="U161" i="118" a="1"/>
  <c r="U161" i="118"/>
  <c r="U156" i="118" a="1"/>
  <c r="U156" i="118"/>
  <c r="T160" i="118" a="1"/>
  <c r="T160" i="118"/>
  <c r="AC154" i="117" a="1"/>
  <c r="AC154" i="117"/>
  <c r="Q29" i="121"/>
  <c r="Y29" i="121"/>
  <c r="Z150" i="121" a="1"/>
  <c r="Z150" i="121"/>
  <c r="T148" i="121" a="1"/>
  <c r="T148" i="121"/>
  <c r="X144" i="121" a="1"/>
  <c r="X144" i="121"/>
  <c r="AB144" i="121" a="1"/>
  <c r="AB144" i="121"/>
  <c r="V160" i="121" a="1"/>
  <c r="V160" i="121"/>
  <c r="Y154" i="121" a="1"/>
  <c r="Y154" i="121"/>
  <c r="Z149" i="121" a="1"/>
  <c r="Z149" i="121"/>
  <c r="AA143" i="121" a="1"/>
  <c r="AA143" i="121"/>
  <c r="W160" i="121" a="1"/>
  <c r="W160" i="121"/>
  <c r="Q31" i="121"/>
  <c r="Y31" i="121"/>
  <c r="Y148" i="121" a="1"/>
  <c r="Y148" i="121"/>
  <c r="T143" i="121" a="1"/>
  <c r="T143" i="121"/>
  <c r="W156" i="121" a="1"/>
  <c r="W156" i="121"/>
  <c r="AA160" i="121" a="1"/>
  <c r="AA160" i="121"/>
  <c r="U144" i="121" a="1"/>
  <c r="U144" i="121"/>
  <c r="AC144" i="121" a="1"/>
  <c r="AC144" i="121"/>
  <c r="AB162" i="120" a="1"/>
  <c r="AB162" i="120"/>
  <c r="T160" i="120" a="1"/>
  <c r="T160" i="120"/>
  <c r="W154" i="120" a="1"/>
  <c r="W154" i="120"/>
  <c r="Y160" i="120" a="1"/>
  <c r="Y160" i="120"/>
  <c r="T142" i="120" a="1"/>
  <c r="T142" i="120"/>
  <c r="AC162" i="120" a="1"/>
  <c r="AC162" i="120"/>
  <c r="AC163" i="120" a="1"/>
  <c r="AC163" i="120"/>
  <c r="Y150" i="120" a="1"/>
  <c r="Y150" i="120"/>
  <c r="AC143" i="120" a="1"/>
  <c r="AC143" i="120"/>
  <c r="AC155" i="120" a="1"/>
  <c r="AC155" i="120"/>
  <c r="AC150" i="120" a="1"/>
  <c r="AC150" i="120"/>
  <c r="T156" i="120" a="1"/>
  <c r="T156" i="120"/>
  <c r="X144" i="120" a="1"/>
  <c r="X144" i="120"/>
  <c r="AB142" i="120" a="1"/>
  <c r="AB142" i="120"/>
  <c r="AB154" i="120" a="1"/>
  <c r="AB154" i="120"/>
  <c r="Q31" i="120"/>
  <c r="Y31" i="120"/>
  <c r="U150" i="120" a="1"/>
  <c r="U150" i="120"/>
  <c r="X156" i="120" a="1"/>
  <c r="X156" i="120"/>
  <c r="Y149" i="120" a="1"/>
  <c r="Y149" i="120"/>
  <c r="Z150" i="120" a="1"/>
  <c r="Z150" i="120"/>
  <c r="X35" i="120"/>
  <c r="K35" i="120"/>
  <c r="Z162" i="120" a="1"/>
  <c r="Z162" i="120"/>
  <c r="T156" i="119" a="1"/>
  <c r="T156" i="119"/>
  <c r="W150" i="119" a="1"/>
  <c r="W150" i="119"/>
  <c r="X148" i="119" a="1"/>
  <c r="X148" i="119"/>
  <c r="X155" i="119" a="1"/>
  <c r="X155" i="119"/>
  <c r="AA148" i="119" a="1"/>
  <c r="AA148" i="119"/>
  <c r="W143" i="119" a="1"/>
  <c r="W143" i="119"/>
  <c r="AC163" i="119" a="1"/>
  <c r="AC163" i="119"/>
  <c r="AA162" i="119" a="1"/>
  <c r="AA162" i="119"/>
  <c r="AB156" i="119" a="1"/>
  <c r="AB156" i="119"/>
  <c r="T155" i="119" a="1"/>
  <c r="T155" i="119"/>
  <c r="Y149" i="119" a="1"/>
  <c r="Y149" i="119"/>
  <c r="W160" i="119" a="1"/>
  <c r="W160" i="119"/>
  <c r="W162" i="119" a="1"/>
  <c r="W162" i="119"/>
  <c r="V156" i="119" a="1"/>
  <c r="V156" i="119"/>
  <c r="AB154" i="119" a="1"/>
  <c r="AB154" i="119"/>
  <c r="AC150" i="119" a="1"/>
  <c r="AC150" i="119"/>
  <c r="AC148" i="119" a="1"/>
  <c r="AC148" i="119"/>
  <c r="T143" i="119" a="1"/>
  <c r="T143" i="119"/>
  <c r="V160" i="119" a="1"/>
  <c r="V160" i="119"/>
  <c r="AA154" i="119" a="1"/>
  <c r="AA154" i="119"/>
  <c r="V149" i="119" a="1"/>
  <c r="V149" i="119"/>
  <c r="Q29" i="119"/>
  <c r="Y29" i="119"/>
  <c r="W30" i="119"/>
  <c r="Y160" i="119" a="1"/>
  <c r="Y160" i="119"/>
  <c r="W161" i="119" a="1"/>
  <c r="W161" i="119"/>
  <c r="Y142" i="119" a="1"/>
  <c r="Y142" i="119"/>
  <c r="T162" i="119" a="1"/>
  <c r="T162" i="119"/>
  <c r="W144" i="119" a="1"/>
  <c r="W144" i="119"/>
  <c r="AA149" i="119" a="1"/>
  <c r="AA149" i="119"/>
  <c r="T161" i="119" a="1"/>
  <c r="T161" i="119"/>
  <c r="AB149" i="119" a="1"/>
  <c r="AB149" i="119"/>
  <c r="AB142" i="119" a="1"/>
  <c r="AB142" i="119"/>
  <c r="U144" i="119" a="1"/>
  <c r="U144" i="119"/>
  <c r="Y143" i="119" a="1"/>
  <c r="Y143" i="119"/>
  <c r="AA161" i="119" a="1"/>
  <c r="AA161" i="119"/>
  <c r="AC149" i="119" a="1"/>
  <c r="AC149" i="119"/>
  <c r="W142" i="119" a="1"/>
  <c r="W142" i="119"/>
  <c r="AA142" i="119" a="1"/>
  <c r="AA142" i="119"/>
  <c r="AC155" i="119" a="1"/>
  <c r="AC155" i="119"/>
  <c r="T150" i="118" a="1"/>
  <c r="T150" i="118"/>
  <c r="AC145" i="118" a="1"/>
  <c r="AC145" i="118"/>
  <c r="AA150" i="118" a="1"/>
  <c r="AA150" i="118"/>
  <c r="T143" i="118" a="1"/>
  <c r="T143" i="118"/>
  <c r="AB162" i="118" a="1"/>
  <c r="AB162" i="118"/>
  <c r="V154" i="118" a="1"/>
  <c r="V154" i="118"/>
  <c r="AC144" i="118" a="1"/>
  <c r="AC144" i="118"/>
  <c r="V142" i="118" a="1"/>
  <c r="V142" i="118"/>
  <c r="U162" i="118" a="1"/>
  <c r="U162" i="118"/>
  <c r="X154" i="118" a="1"/>
  <c r="X154" i="118"/>
  <c r="W149" i="118" a="1"/>
  <c r="W149" i="118"/>
  <c r="Z143" i="118" a="1"/>
  <c r="Z143" i="118"/>
  <c r="V162" i="118" a="1"/>
  <c r="V162" i="118"/>
  <c r="Z150" i="118" a="1"/>
  <c r="Z150" i="118"/>
  <c r="W144" i="118" a="1"/>
  <c r="W144" i="118"/>
  <c r="U154" i="118" a="1"/>
  <c r="U154" i="118"/>
  <c r="AC142" i="118" a="1"/>
  <c r="AC142" i="118"/>
  <c r="W160" i="118" a="1"/>
  <c r="W160" i="118"/>
  <c r="X35" i="118"/>
  <c r="K35" i="118"/>
  <c r="X142" i="118" a="1"/>
  <c r="X142" i="118"/>
  <c r="V156" i="118" a="1"/>
  <c r="V156" i="118"/>
  <c r="AC150" i="118" a="1"/>
  <c r="AC150" i="118"/>
  <c r="Z160" i="118" a="1"/>
  <c r="Z160" i="118"/>
  <c r="W154" i="118" a="1"/>
  <c r="W154" i="118"/>
  <c r="Z148" i="118" a="1"/>
  <c r="Z148" i="118"/>
  <c r="V161" i="118" a="1"/>
  <c r="V161" i="118"/>
  <c r="Z155" i="118" a="1"/>
  <c r="Z155" i="118"/>
  <c r="Z144" i="118" a="1"/>
  <c r="Z144" i="118"/>
  <c r="X148" i="118" a="1"/>
  <c r="X148" i="118"/>
  <c r="AC163" i="118" a="1"/>
  <c r="AC163" i="118"/>
  <c r="W162" i="118" a="1"/>
  <c r="W162" i="118"/>
  <c r="AB156" i="118" a="1"/>
  <c r="AB156" i="118"/>
  <c r="AB154" i="118" a="1"/>
  <c r="AB154" i="118"/>
  <c r="AA149" i="118" a="1"/>
  <c r="AA149" i="118"/>
  <c r="AB143" i="118" a="1"/>
  <c r="AB143" i="118"/>
  <c r="U143" i="118" a="1"/>
  <c r="U143" i="118"/>
  <c r="X162" i="118" a="1"/>
  <c r="X162" i="118"/>
  <c r="AB160" i="118" a="1"/>
  <c r="AB160" i="118"/>
  <c r="AA154" i="118" a="1"/>
  <c r="AA154" i="118"/>
  <c r="X149" i="118" a="1"/>
  <c r="X149" i="118"/>
  <c r="Y144" i="118" a="1"/>
  <c r="Y144" i="118"/>
  <c r="AB148" i="118" a="1"/>
  <c r="AB148" i="118"/>
  <c r="V148" i="118" a="1"/>
  <c r="V148" i="118"/>
  <c r="Z149" i="118" a="1"/>
  <c r="Z149" i="118"/>
  <c r="AA143" i="118" a="1"/>
  <c r="AA143" i="118"/>
  <c r="AA160" i="118" a="1"/>
  <c r="AA160" i="118"/>
  <c r="AA162" i="118" a="1"/>
  <c r="AA162" i="118"/>
  <c r="V155" i="118" a="1"/>
  <c r="V155" i="118"/>
  <c r="U150" i="118" a="1"/>
  <c r="U150" i="118"/>
  <c r="U148" i="118" a="1"/>
  <c r="U148" i="118"/>
  <c r="V144" i="118" a="1"/>
  <c r="V144" i="118"/>
  <c r="T162" i="118" a="1"/>
  <c r="T162" i="118"/>
  <c r="AC143" i="117" a="1"/>
  <c r="AC143" i="117"/>
  <c r="T162" i="117" a="1"/>
  <c r="T162" i="117"/>
  <c r="X160" i="117" a="1"/>
  <c r="X160" i="117"/>
  <c r="AB154" i="117" a="1"/>
  <c r="AB154" i="117"/>
  <c r="V150" i="117" a="1"/>
  <c r="V150" i="117"/>
  <c r="AA162" i="117" a="1"/>
  <c r="AA162" i="117"/>
  <c r="Y144" i="117" a="1"/>
  <c r="Y144" i="117"/>
  <c r="AC161" i="117" a="1"/>
  <c r="AC161" i="117"/>
  <c r="W161" i="117" a="1"/>
  <c r="W161" i="117"/>
  <c r="AC160" i="117" a="1"/>
  <c r="AC160" i="117"/>
  <c r="V156" i="117" a="1"/>
  <c r="V156" i="117"/>
  <c r="Z154" i="117" a="1"/>
  <c r="Z154" i="117"/>
  <c r="W149" i="117" a="1"/>
  <c r="W149" i="117"/>
  <c r="T144" i="117" a="1"/>
  <c r="T144" i="117"/>
  <c r="AA144" i="117" a="1"/>
  <c r="AA144" i="117"/>
  <c r="Z161" i="117" a="1"/>
  <c r="Z161" i="117"/>
  <c r="T160" i="117" a="1"/>
  <c r="T160" i="117"/>
  <c r="AC155" i="117" a="1"/>
  <c r="AC155" i="117"/>
  <c r="Z149" i="117" a="1"/>
  <c r="Z149" i="117"/>
  <c r="W143" i="117" a="1"/>
  <c r="W143" i="117"/>
  <c r="V148" i="117" a="1"/>
  <c r="V148" i="117"/>
  <c r="Z144" i="117" a="1"/>
  <c r="Z144" i="117"/>
  <c r="Q30" i="117"/>
  <c r="Y30" i="117"/>
  <c r="Y161" i="117" a="1"/>
  <c r="Y161" i="117"/>
  <c r="U160" i="117" a="1"/>
  <c r="U160" i="117"/>
  <c r="AC151" i="117" a="1"/>
  <c r="AC151" i="117"/>
  <c r="U150" i="117" a="1"/>
  <c r="U150" i="117"/>
  <c r="W148" i="117" a="1"/>
  <c r="W148" i="117"/>
  <c r="T142" i="117" a="1"/>
  <c r="T142" i="117"/>
  <c r="AA142" i="117" a="1"/>
  <c r="AA142" i="117"/>
  <c r="V162" i="117" a="1"/>
  <c r="V162" i="117"/>
  <c r="Z160" i="117" a="1"/>
  <c r="Z160" i="117"/>
  <c r="V144" i="117" a="1"/>
  <c r="V144" i="117"/>
  <c r="T149" i="117" a="1"/>
  <c r="T149" i="117"/>
  <c r="X143" i="117" a="1"/>
  <c r="X143" i="117"/>
  <c r="AB161" i="117" a="1"/>
  <c r="AB161" i="117"/>
  <c r="V142" i="117" a="1"/>
  <c r="V142" i="117"/>
  <c r="X155" i="117" a="1"/>
  <c r="X155" i="117"/>
  <c r="Y155" i="117" a="1"/>
  <c r="Y155" i="117"/>
  <c r="U161" i="117" a="1"/>
  <c r="U161" i="117"/>
  <c r="X156" i="117" a="1"/>
  <c r="X156" i="117"/>
  <c r="Y149" i="117" a="1"/>
  <c r="Y149" i="117"/>
  <c r="Y156" i="117" a="1"/>
  <c r="Y156" i="117"/>
  <c r="T143" i="117" a="1"/>
  <c r="T143" i="117"/>
  <c r="W154" i="117" a="1"/>
  <c r="W154" i="117"/>
  <c r="Y148" i="117" a="1"/>
  <c r="Y148" i="117"/>
  <c r="AC145" i="117" a="1"/>
  <c r="AC145" i="117"/>
  <c r="U144" i="117" a="1"/>
  <c r="U144" i="117"/>
  <c r="Y143" i="117" a="1"/>
  <c r="Y143" i="117"/>
  <c r="AC144" i="117" a="1"/>
  <c r="AC144" i="117"/>
  <c r="Q30" i="116"/>
  <c r="Y30" i="116"/>
  <c r="V144" i="116" a="1"/>
  <c r="V144" i="116"/>
  <c r="AC148" i="116" a="1"/>
  <c r="AC148" i="116"/>
  <c r="X162" i="116" a="1"/>
  <c r="X162" i="116"/>
  <c r="X35" i="116"/>
  <c r="K35" i="116"/>
  <c r="AB148" i="116" a="1"/>
  <c r="AB148" i="116"/>
  <c r="Y155" i="116" a="1"/>
  <c r="Y155" i="116"/>
  <c r="AA148" i="116" a="1"/>
  <c r="AA148" i="116"/>
  <c r="T155" i="116" a="1"/>
  <c r="T155" i="116"/>
  <c r="AA160" i="116" a="1"/>
  <c r="AA160" i="116"/>
  <c r="Y162" i="116" a="1"/>
  <c r="Y162" i="116"/>
  <c r="Z155" i="116" a="1"/>
  <c r="Z155" i="116"/>
  <c r="AC150" i="116" a="1"/>
  <c r="AC150" i="116"/>
  <c r="T160" i="116" a="1"/>
  <c r="T160" i="116"/>
  <c r="AC154" i="116" a="1"/>
  <c r="AC154" i="116"/>
  <c r="Z149" i="116" a="1"/>
  <c r="Z149" i="116"/>
  <c r="Y144" i="116" a="1"/>
  <c r="Y144" i="116"/>
  <c r="W144" i="116" a="1"/>
  <c r="W144" i="116"/>
  <c r="AA154" i="116" a="1"/>
  <c r="AA154" i="116"/>
  <c r="U160" i="116" a="1"/>
  <c r="U160" i="116"/>
  <c r="U144" i="116" a="1"/>
  <c r="U144" i="116"/>
  <c r="V161" i="116" a="1"/>
  <c r="V161" i="116"/>
  <c r="U156" i="116" a="1"/>
  <c r="U156" i="116"/>
  <c r="AB150" i="116" a="1"/>
  <c r="AB150" i="116"/>
  <c r="U142" i="116" a="1"/>
  <c r="U142" i="116"/>
  <c r="AC142" i="116" a="1"/>
  <c r="AC142" i="116"/>
  <c r="AB142" i="116" a="1"/>
  <c r="AB142" i="116"/>
  <c r="Y160" i="116" a="1"/>
  <c r="Y160" i="116"/>
  <c r="V156" i="116" a="1"/>
  <c r="V156" i="116"/>
  <c r="U148" i="116" a="1"/>
  <c r="U148" i="116"/>
  <c r="V148" i="116" a="1"/>
  <c r="V148" i="116"/>
  <c r="Z143" i="116" a="1"/>
  <c r="Z143" i="116"/>
  <c r="T142" i="116" a="1"/>
  <c r="T142" i="116"/>
  <c r="X149" i="116" a="1"/>
  <c r="X149" i="116"/>
  <c r="AB144" i="116" a="1"/>
  <c r="AB144" i="116"/>
  <c r="Z143" i="115" a="1"/>
  <c r="Z143" i="115"/>
  <c r="AB161" i="115" a="1"/>
  <c r="AB161" i="115"/>
  <c r="W149" i="115" a="1"/>
  <c r="W149" i="115"/>
  <c r="AA155" i="115" a="1"/>
  <c r="AA155" i="115"/>
  <c r="AB156" i="115" a="1"/>
  <c r="AB156" i="115"/>
  <c r="AB155" i="115" a="1"/>
  <c r="AB155" i="115"/>
  <c r="AB154" i="115" a="1"/>
  <c r="AB154" i="115"/>
  <c r="X144" i="115" a="1"/>
  <c r="X144" i="115"/>
  <c r="V143" i="115" a="1"/>
  <c r="V143" i="115"/>
  <c r="T142" i="115" a="1"/>
  <c r="T142" i="115"/>
  <c r="T162" i="115" a="1"/>
  <c r="T162" i="115"/>
  <c r="T161" i="115" a="1"/>
  <c r="T161" i="115"/>
  <c r="T160" i="115" a="1"/>
  <c r="T160" i="115"/>
  <c r="Z160" i="115" a="1"/>
  <c r="Z160" i="115"/>
  <c r="X148" i="115" a="1"/>
  <c r="X148" i="115"/>
  <c r="Q30" i="115"/>
  <c r="Y30" i="115"/>
  <c r="V156" i="115" a="1"/>
  <c r="V156" i="115"/>
  <c r="T155" i="115" a="1"/>
  <c r="T155" i="115"/>
  <c r="Z144" i="115" a="1"/>
  <c r="Z144" i="115"/>
  <c r="V142" i="115" a="1"/>
  <c r="V142" i="115"/>
  <c r="X162" i="115" a="1"/>
  <c r="X162" i="115"/>
  <c r="AC156" i="115" a="1"/>
  <c r="AC156" i="115"/>
  <c r="Y161" i="115" a="1"/>
  <c r="Y161" i="115"/>
  <c r="AC145" i="115" a="1"/>
  <c r="AC145" i="115"/>
  <c r="U144" i="115" a="1"/>
  <c r="U144" i="115"/>
  <c r="AC160" i="115" a="1"/>
  <c r="AC160" i="115"/>
  <c r="V150" i="115" a="1"/>
  <c r="V150" i="115"/>
  <c r="AB148" i="115" a="1"/>
  <c r="AB148" i="115"/>
  <c r="V149" i="115" a="1"/>
  <c r="V149" i="115"/>
  <c r="X143" i="115" a="1"/>
  <c r="X143" i="115"/>
  <c r="AA160" i="115" a="1"/>
  <c r="AA160" i="115"/>
  <c r="AC162" i="115" a="1"/>
  <c r="AC162" i="115"/>
  <c r="W162" i="115" a="1"/>
  <c r="W162" i="115"/>
  <c r="Z156" i="115" a="1"/>
  <c r="Z156" i="115"/>
  <c r="T156" i="115" a="1"/>
  <c r="T156" i="115"/>
  <c r="V155" i="115" a="1"/>
  <c r="V155" i="115"/>
  <c r="X154" i="115" a="1"/>
  <c r="X154" i="115"/>
  <c r="AC150" i="115" a="1"/>
  <c r="AC150" i="115"/>
  <c r="U150" i="115" a="1"/>
  <c r="U150" i="115"/>
  <c r="Y148" i="115" a="1"/>
  <c r="Y148" i="115"/>
  <c r="AB144" i="115" a="1"/>
  <c r="AB144" i="115"/>
  <c r="AB146" i="115"/>
  <c r="AM15" i="115"/>
  <c r="Y15" i="115"/>
  <c r="T144" i="115" a="1"/>
  <c r="T144" i="115"/>
  <c r="T143" i="115" a="1"/>
  <c r="T143" i="115"/>
  <c r="X142" i="115" a="1"/>
  <c r="X142" i="115"/>
  <c r="V162" i="115" a="1"/>
  <c r="V162" i="115"/>
  <c r="Z161" i="115" a="1"/>
  <c r="Z161" i="115"/>
  <c r="AC157" i="115" a="1"/>
  <c r="AC157" i="115"/>
  <c r="W143" i="115" a="1"/>
  <c r="W143" i="115"/>
  <c r="AC144" i="115" a="1"/>
  <c r="AC144" i="115"/>
  <c r="S145" i="77" a="1"/>
  <c r="S145" i="77"/>
  <c r="T157" i="77" a="1"/>
  <c r="T157" i="77"/>
  <c r="T144" i="77" a="1"/>
  <c r="T144" i="77"/>
  <c r="W145" i="77" a="1"/>
  <c r="W145" i="77"/>
  <c r="U138" i="77" a="1"/>
  <c r="U138" i="77"/>
  <c r="T143" i="77" a="1"/>
  <c r="T143" i="77"/>
  <c r="T151" i="77" a="1"/>
  <c r="T151" i="77"/>
  <c r="S143" i="77" a="1"/>
  <c r="S143" i="77"/>
  <c r="V157" i="77" a="1"/>
  <c r="V157" i="77"/>
  <c r="T156" i="77" a="1"/>
  <c r="T156" i="77"/>
  <c r="T150" i="77" a="1"/>
  <c r="T150" i="77"/>
  <c r="U31" i="92"/>
  <c r="AA155" i="92" a="1"/>
  <c r="AA155" i="92"/>
  <c r="U142" i="92" a="1"/>
  <c r="U142" i="92"/>
  <c r="W142" i="92" a="1"/>
  <c r="W142" i="92"/>
  <c r="X148" i="92" a="1"/>
  <c r="X148" i="92"/>
  <c r="U143" i="92" a="1"/>
  <c r="U143" i="92"/>
  <c r="AA143" i="92" a="1"/>
  <c r="AA143" i="92"/>
  <c r="U148" i="92" a="1"/>
  <c r="U148" i="92"/>
  <c r="W156" i="92" a="1"/>
  <c r="W156" i="92"/>
  <c r="AA144" i="92" a="1"/>
  <c r="AA144" i="92"/>
  <c r="Z160" i="92" a="1"/>
  <c r="Z160" i="92"/>
  <c r="Y144" i="92" a="1"/>
  <c r="Y144" i="92"/>
  <c r="W148" i="92" a="1"/>
  <c r="W148" i="92"/>
  <c r="U161" i="92" a="1"/>
  <c r="U161" i="92"/>
  <c r="Y162" i="92" a="1"/>
  <c r="Y162" i="92"/>
  <c r="Z154" i="92" a="1"/>
  <c r="Z154" i="92"/>
  <c r="X160" i="92" a="1"/>
  <c r="X160" i="92"/>
  <c r="AC154" i="92" a="1"/>
  <c r="AC154" i="92"/>
  <c r="W161" i="92" a="1"/>
  <c r="W161" i="92"/>
  <c r="V161" i="92" a="1"/>
  <c r="V161" i="92"/>
  <c r="W144" i="92" a="1"/>
  <c r="W144" i="92"/>
  <c r="X142" i="92" a="1"/>
  <c r="X142" i="92"/>
  <c r="Z144" i="92" a="1"/>
  <c r="Z144" i="92"/>
  <c r="T156" i="92" a="1"/>
  <c r="T156" i="92"/>
  <c r="AA150" i="92" a="1"/>
  <c r="AA150" i="92"/>
  <c r="Y142" i="92" a="1"/>
  <c r="Y142" i="92"/>
  <c r="AC163" i="92" a="1"/>
  <c r="AC163" i="92"/>
  <c r="U160" i="92" a="1"/>
  <c r="U160" i="92"/>
  <c r="AB148" i="92" a="1"/>
  <c r="AB148" i="92"/>
  <c r="V156" i="92" a="1"/>
  <c r="V156" i="92"/>
  <c r="X155" i="92" a="1"/>
  <c r="X155" i="92"/>
  <c r="V142" i="92" a="1"/>
  <c r="V142" i="92"/>
  <c r="V162" i="92" a="1"/>
  <c r="V162" i="92"/>
  <c r="X162" i="92" a="1"/>
  <c r="X162" i="92"/>
  <c r="AB144" i="92" a="1"/>
  <c r="AB144" i="92"/>
  <c r="V154" i="92" a="1"/>
  <c r="V154" i="92"/>
  <c r="Z155" i="92" a="1"/>
  <c r="Z155" i="92"/>
  <c r="U161" i="121" a="1"/>
  <c r="U161" i="121"/>
  <c r="T161" i="121" a="1"/>
  <c r="T161" i="121"/>
  <c r="U143" i="121" a="1"/>
  <c r="U143" i="121"/>
  <c r="AA162" i="121" a="1"/>
  <c r="AA162" i="121"/>
  <c r="AA161" i="121" a="1"/>
  <c r="AA161" i="121"/>
  <c r="U160" i="121" a="1"/>
  <c r="U160" i="121"/>
  <c r="T156" i="121" a="1"/>
  <c r="T156" i="121"/>
  <c r="X155" i="121" a="1"/>
  <c r="X155" i="121"/>
  <c r="T155" i="121" a="1"/>
  <c r="T155" i="121"/>
  <c r="AC151" i="121" a="1"/>
  <c r="AC151" i="121"/>
  <c r="W150" i="121" a="1"/>
  <c r="W150" i="121"/>
  <c r="AA149" i="121" a="1"/>
  <c r="AA149" i="121"/>
  <c r="AA148" i="121" a="1"/>
  <c r="AA148" i="121"/>
  <c r="U148" i="121" a="1"/>
  <c r="U148" i="121"/>
  <c r="V144" i="121" a="1"/>
  <c r="V144" i="121"/>
  <c r="V143" i="121" a="1"/>
  <c r="V143" i="121"/>
  <c r="Z142" i="121" a="1"/>
  <c r="Z142" i="121"/>
  <c r="Z162" i="121" a="1"/>
  <c r="Z162" i="121"/>
  <c r="T162" i="121" a="1"/>
  <c r="T162" i="121"/>
  <c r="V161" i="121" a="1"/>
  <c r="V161" i="121"/>
  <c r="X160" i="121" a="1"/>
  <c r="X160" i="121"/>
  <c r="U156" i="121" a="1"/>
  <c r="U156" i="121"/>
  <c r="W155" i="121" a="1"/>
  <c r="W155" i="121"/>
  <c r="AA154" i="121" a="1"/>
  <c r="AA154" i="121"/>
  <c r="X150" i="121" a="1"/>
  <c r="X150" i="121"/>
  <c r="AB149" i="121" a="1"/>
  <c r="AB149" i="121"/>
  <c r="T149" i="121" a="1"/>
  <c r="T149" i="121"/>
  <c r="AA144" i="121" a="1"/>
  <c r="AA144" i="121"/>
  <c r="AC143" i="121" a="1"/>
  <c r="AC143" i="121"/>
  <c r="Y160" i="121" a="1"/>
  <c r="Y160" i="121"/>
  <c r="W142" i="121" a="1"/>
  <c r="W142" i="121"/>
  <c r="U142" i="121" a="1"/>
  <c r="U142" i="121"/>
  <c r="Y143" i="121" a="1"/>
  <c r="Y143" i="121"/>
  <c r="Y162" i="121" a="1"/>
  <c r="Y162" i="121"/>
  <c r="AC161" i="121" a="1"/>
  <c r="AC161" i="121"/>
  <c r="AB156" i="121" a="1"/>
  <c r="AB156" i="121"/>
  <c r="V156" i="121" a="1"/>
  <c r="V156" i="121"/>
  <c r="V155" i="121" a="1"/>
  <c r="V155" i="121"/>
  <c r="Z154" i="121" a="1"/>
  <c r="Z154" i="121"/>
  <c r="T154" i="121" a="1"/>
  <c r="T154" i="121"/>
  <c r="Y150" i="121" a="1"/>
  <c r="Y150" i="121"/>
  <c r="Y149" i="121" a="1"/>
  <c r="Y149" i="121"/>
  <c r="AC148" i="121" a="1"/>
  <c r="AC148" i="121"/>
  <c r="T144" i="121" a="1"/>
  <c r="T144" i="121"/>
  <c r="X143" i="121" a="1"/>
  <c r="X143" i="121"/>
  <c r="X142" i="121" a="1"/>
  <c r="X142" i="121"/>
  <c r="Z161" i="121" a="1"/>
  <c r="Z161" i="121"/>
  <c r="Z160" i="121" a="1"/>
  <c r="Z160" i="121"/>
  <c r="T160" i="121" a="1"/>
  <c r="T160" i="121"/>
  <c r="Y156" i="121" a="1"/>
  <c r="Y156" i="121"/>
  <c r="Y158" i="121"/>
  <c r="AA155" i="121" a="1"/>
  <c r="AA155" i="121"/>
  <c r="U155" i="121" a="1"/>
  <c r="U155" i="121"/>
  <c r="W154" i="121" a="1"/>
  <c r="W154" i="121"/>
  <c r="AB150" i="121" a="1"/>
  <c r="AB150" i="121"/>
  <c r="T150" i="121" a="1"/>
  <c r="T150" i="121"/>
  <c r="X149" i="121" a="1"/>
  <c r="X149" i="121"/>
  <c r="Z148" i="121" a="1"/>
  <c r="Z148" i="121"/>
  <c r="Y144" i="121" a="1"/>
  <c r="Y144" i="121"/>
  <c r="AA142" i="121" a="1"/>
  <c r="AA142" i="121"/>
  <c r="W143" i="121" a="1"/>
  <c r="W143" i="121"/>
  <c r="Y142" i="121" a="1"/>
  <c r="Y142" i="121"/>
  <c r="AC156" i="121" a="1"/>
  <c r="AC156" i="121"/>
  <c r="AC162" i="121" a="1"/>
  <c r="AC162" i="121"/>
  <c r="W162" i="121" a="1"/>
  <c r="W162" i="121"/>
  <c r="W161" i="121" a="1"/>
  <c r="W161" i="121"/>
  <c r="Z156" i="121" a="1"/>
  <c r="Z156" i="121"/>
  <c r="Z155" i="121" a="1"/>
  <c r="Z155" i="121"/>
  <c r="X154" i="121" a="1"/>
  <c r="X154" i="121"/>
  <c r="AC150" i="121" a="1"/>
  <c r="AC150" i="121"/>
  <c r="AC149" i="121" a="1"/>
  <c r="AC149" i="121"/>
  <c r="W149" i="121" a="1"/>
  <c r="W149" i="121"/>
  <c r="W148" i="121" a="1"/>
  <c r="W148" i="121"/>
  <c r="Z144" i="121" a="1"/>
  <c r="Z144" i="121"/>
  <c r="AB143" i="121" a="1"/>
  <c r="AB143" i="121"/>
  <c r="AB142" i="121" a="1"/>
  <c r="AB142" i="121"/>
  <c r="V142" i="121" a="1"/>
  <c r="V142" i="121"/>
  <c r="AC142" i="121" a="1"/>
  <c r="AC142" i="121"/>
  <c r="AB162" i="121" a="1"/>
  <c r="AB162" i="121"/>
  <c r="AB164" i="121"/>
  <c r="V162" i="121" a="1"/>
  <c r="V162" i="121"/>
  <c r="X161" i="121" a="1"/>
  <c r="X161" i="121"/>
  <c r="AC157" i="121" a="1"/>
  <c r="AC157" i="121"/>
  <c r="AC154" i="121" a="1"/>
  <c r="AC154" i="121"/>
  <c r="U154" i="121" a="1"/>
  <c r="U154" i="121"/>
  <c r="V149" i="121" a="1"/>
  <c r="V149" i="121"/>
  <c r="X148" i="121" a="1"/>
  <c r="X148" i="121"/>
  <c r="AC145" i="121" a="1"/>
  <c r="AC145" i="121"/>
  <c r="U161" i="120" a="1"/>
  <c r="U161" i="120"/>
  <c r="AA143" i="120" a="1"/>
  <c r="AA143" i="120"/>
  <c r="AA148" i="120" a="1"/>
  <c r="AA148" i="120"/>
  <c r="W161" i="120" a="1"/>
  <c r="W161" i="120"/>
  <c r="U144" i="120" a="1"/>
  <c r="U144" i="120"/>
  <c r="T150" i="120" a="1"/>
  <c r="T150" i="120"/>
  <c r="W155" i="120" a="1"/>
  <c r="W155" i="120"/>
  <c r="AB160" i="120" a="1"/>
  <c r="AB160" i="120"/>
  <c r="Z144" i="120" a="1"/>
  <c r="Z144" i="120"/>
  <c r="AC149" i="120" a="1"/>
  <c r="AC149" i="120"/>
  <c r="Y156" i="120" a="1"/>
  <c r="Y156" i="120"/>
  <c r="V161" i="120" a="1"/>
  <c r="V161" i="120"/>
  <c r="W150" i="120" a="1"/>
  <c r="W150" i="120"/>
  <c r="AC151" i="120" a="1"/>
  <c r="AC151" i="120"/>
  <c r="Y161" i="120" a="1"/>
  <c r="Y161" i="120"/>
  <c r="AC144" i="120" a="1"/>
  <c r="AC144" i="120"/>
  <c r="Z156" i="120" a="1"/>
  <c r="Z156" i="120"/>
  <c r="AC142" i="120" a="1"/>
  <c r="AC142" i="120"/>
  <c r="AA144" i="120" a="1"/>
  <c r="AA144" i="120"/>
  <c r="V148" i="120" a="1"/>
  <c r="V148" i="120"/>
  <c r="AB149" i="120" a="1"/>
  <c r="AB149" i="120"/>
  <c r="U155" i="120" a="1"/>
  <c r="U155" i="120"/>
  <c r="AA156" i="120" a="1"/>
  <c r="AA156" i="120"/>
  <c r="V160" i="120" a="1"/>
  <c r="V160" i="120"/>
  <c r="AB161" i="120" a="1"/>
  <c r="AB161" i="120"/>
  <c r="V143" i="120" a="1"/>
  <c r="V143" i="120"/>
  <c r="AB144" i="120" a="1"/>
  <c r="AB144" i="120"/>
  <c r="Y142" i="120" a="1"/>
  <c r="Y142" i="120"/>
  <c r="Y162" i="120" a="1"/>
  <c r="Y162" i="120"/>
  <c r="AB156" i="120" a="1"/>
  <c r="AB156" i="120"/>
  <c r="X154" i="120" a="1"/>
  <c r="X154" i="120"/>
  <c r="AC148" i="120" a="1"/>
  <c r="AC148" i="120"/>
  <c r="Z154" i="120" a="1"/>
  <c r="Z154" i="120"/>
  <c r="V156" i="120" a="1"/>
  <c r="V156" i="120"/>
  <c r="W162" i="120" a="1"/>
  <c r="W162" i="120"/>
  <c r="U160" i="120" a="1"/>
  <c r="U160" i="120"/>
  <c r="AA142" i="120" a="1"/>
  <c r="AA142" i="120"/>
  <c r="V149" i="120" a="1"/>
  <c r="V149" i="120"/>
  <c r="AB150" i="120" a="1"/>
  <c r="AB150" i="120"/>
  <c r="Y154" i="120" a="1"/>
  <c r="Y154" i="120"/>
  <c r="U156" i="120" a="1"/>
  <c r="U156" i="120"/>
  <c r="Z161" i="120" a="1"/>
  <c r="Z161" i="120"/>
  <c r="X162" i="120" a="1"/>
  <c r="X162" i="120"/>
  <c r="V142" i="120" a="1"/>
  <c r="V142" i="120"/>
  <c r="AB143" i="120" a="1"/>
  <c r="AB143" i="120"/>
  <c r="U149" i="120" a="1"/>
  <c r="U149" i="120"/>
  <c r="AA150" i="120" a="1"/>
  <c r="AA150" i="120"/>
  <c r="V154" i="120" a="1"/>
  <c r="V154" i="120"/>
  <c r="AC161" i="120" a="1"/>
  <c r="AC161" i="120"/>
  <c r="Y143" i="120" a="1"/>
  <c r="Y143" i="120"/>
  <c r="Z148" i="120" a="1"/>
  <c r="Z148" i="120"/>
  <c r="V150" i="120" a="1"/>
  <c r="V150" i="120"/>
  <c r="Y155" i="120" a="1"/>
  <c r="Y155" i="120"/>
  <c r="Z160" i="120" a="1"/>
  <c r="Z160" i="120"/>
  <c r="V162" i="120" a="1"/>
  <c r="V162" i="120"/>
  <c r="Z143" i="120" a="1"/>
  <c r="Z143" i="120"/>
  <c r="V155" i="120" a="1"/>
  <c r="V155" i="120"/>
  <c r="Y144" i="120" a="1"/>
  <c r="Y144" i="120"/>
  <c r="AA160" i="120" a="1"/>
  <c r="AA160" i="120"/>
  <c r="X150" i="120" a="1"/>
  <c r="X150" i="120"/>
  <c r="Z149" i="120" a="1"/>
  <c r="Z149" i="120"/>
  <c r="U162" i="120" a="1"/>
  <c r="U162" i="120"/>
  <c r="Z155" i="120" a="1"/>
  <c r="Z155" i="120"/>
  <c r="T154" i="120" a="1"/>
  <c r="T154" i="120"/>
  <c r="AA149" i="120" a="1"/>
  <c r="AA149" i="120"/>
  <c r="Y148" i="120" a="1"/>
  <c r="Y148" i="120"/>
  <c r="AA155" i="120" a="1"/>
  <c r="AA155" i="120"/>
  <c r="X143" i="120" a="1"/>
  <c r="X143" i="120"/>
  <c r="X155" i="120" a="1"/>
  <c r="X155" i="120"/>
  <c r="X148" i="120" a="1"/>
  <c r="X148" i="120"/>
  <c r="AC156" i="120" a="1"/>
  <c r="AC156" i="120"/>
  <c r="T162" i="120" a="1"/>
  <c r="T162" i="120"/>
  <c r="T143" i="120" a="1"/>
  <c r="T143" i="120"/>
  <c r="W148" i="120" a="1"/>
  <c r="W148" i="120"/>
  <c r="W152" i="120"/>
  <c r="W166" i="120"/>
  <c r="AC10" i="120"/>
  <c r="U10" i="120"/>
  <c r="AB155" i="120" a="1"/>
  <c r="AB155" i="120"/>
  <c r="AC160" i="120" a="1"/>
  <c r="AC160" i="120"/>
  <c r="W144" i="120" a="1"/>
  <c r="W144" i="120"/>
  <c r="AC145" i="120" a="1"/>
  <c r="AC145" i="120"/>
  <c r="X149" i="120" a="1"/>
  <c r="X149" i="120"/>
  <c r="AA154" i="120" a="1"/>
  <c r="AA154" i="120"/>
  <c r="W156" i="120" a="1"/>
  <c r="W156" i="120"/>
  <c r="AC157" i="120" a="1"/>
  <c r="AC157" i="120"/>
  <c r="X161" i="120" a="1"/>
  <c r="X161" i="120"/>
  <c r="U148" i="120" a="1"/>
  <c r="U148" i="120"/>
  <c r="U154" i="120" a="1"/>
  <c r="U154" i="120"/>
  <c r="T148" i="120" a="1"/>
  <c r="T148" i="120"/>
  <c r="W160" i="120" a="1"/>
  <c r="W160" i="120"/>
  <c r="W143" i="120" a="1"/>
  <c r="W143" i="120"/>
  <c r="AA161" i="120" a="1"/>
  <c r="AA161" i="120"/>
  <c r="W24" i="120"/>
  <c r="U142" i="119" a="1"/>
  <c r="U142" i="119"/>
  <c r="Z162" i="119" a="1"/>
  <c r="Z162" i="119"/>
  <c r="AB161" i="119" a="1"/>
  <c r="AB161" i="119"/>
  <c r="V161" i="119" a="1"/>
  <c r="V161" i="119"/>
  <c r="X160" i="119" a="1"/>
  <c r="X160" i="119"/>
  <c r="W156" i="119" a="1"/>
  <c r="W156" i="119"/>
  <c r="AA155" i="119" a="1"/>
  <c r="AA155" i="119"/>
  <c r="AC154" i="119" a="1"/>
  <c r="AC154" i="119"/>
  <c r="W154" i="119" a="1"/>
  <c r="W154" i="119"/>
  <c r="AB150" i="119" a="1"/>
  <c r="AB150" i="119"/>
  <c r="T150" i="119" a="1"/>
  <c r="T150" i="119"/>
  <c r="Z148" i="119" a="1"/>
  <c r="Z148" i="119"/>
  <c r="AC145" i="119" a="1"/>
  <c r="AC145" i="119"/>
  <c r="Y144" i="119" a="1"/>
  <c r="Y144" i="119"/>
  <c r="AC143" i="119" a="1"/>
  <c r="AC143" i="119"/>
  <c r="U143" i="119" a="1"/>
  <c r="U143" i="119"/>
  <c r="AC160" i="119" a="1"/>
  <c r="AC160" i="119"/>
  <c r="Y162" i="119" a="1"/>
  <c r="Y162" i="119"/>
  <c r="AC161" i="119" a="1"/>
  <c r="AC161" i="119"/>
  <c r="Z156" i="119" a="1"/>
  <c r="Z156" i="119"/>
  <c r="AB155" i="119" a="1"/>
  <c r="AB155" i="119"/>
  <c r="V155" i="119" a="1"/>
  <c r="V155" i="119"/>
  <c r="Z154" i="119" a="1"/>
  <c r="Z154" i="119"/>
  <c r="AA150" i="119" a="1"/>
  <c r="AA150" i="119"/>
  <c r="W149" i="119" a="1"/>
  <c r="W149" i="119"/>
  <c r="Y148" i="119" a="1"/>
  <c r="Y148" i="119"/>
  <c r="AB144" i="119" a="1"/>
  <c r="AB144" i="119"/>
  <c r="V144" i="119" a="1"/>
  <c r="V144" i="119"/>
  <c r="X143" i="119" a="1"/>
  <c r="X143" i="119"/>
  <c r="Z142" i="119" a="1"/>
  <c r="Z142" i="119"/>
  <c r="V162" i="119" a="1"/>
  <c r="V162" i="119"/>
  <c r="X161" i="119" a="1"/>
  <c r="X161" i="119"/>
  <c r="AB160" i="119" a="1"/>
  <c r="AB160" i="119"/>
  <c r="T160" i="119" a="1"/>
  <c r="T160" i="119"/>
  <c r="AA156" i="119" a="1"/>
  <c r="AA156" i="119"/>
  <c r="U156" i="119" a="1"/>
  <c r="U156" i="119"/>
  <c r="W155" i="119" a="1"/>
  <c r="W155" i="119"/>
  <c r="X150" i="119" a="1"/>
  <c r="X150" i="119"/>
  <c r="Z149" i="119" a="1"/>
  <c r="Z149" i="119"/>
  <c r="T149" i="119" a="1"/>
  <c r="T149" i="119"/>
  <c r="V148" i="119" a="1"/>
  <c r="V148" i="119"/>
  <c r="AC144" i="119" a="1"/>
  <c r="AC144" i="119"/>
  <c r="AC142" i="119" a="1"/>
  <c r="AC142" i="119"/>
  <c r="U162" i="119" a="1"/>
  <c r="U162" i="119"/>
  <c r="U150" i="119" a="1"/>
  <c r="U150" i="119"/>
  <c r="U148" i="119" a="1"/>
  <c r="U148" i="119"/>
  <c r="U154" i="119" a="1"/>
  <c r="U154" i="119"/>
  <c r="AA160" i="119" a="1"/>
  <c r="AA160" i="119"/>
  <c r="AC162" i="119" a="1"/>
  <c r="AC162" i="119"/>
  <c r="U160" i="119" a="1"/>
  <c r="U160" i="119"/>
  <c r="X156" i="119" a="1"/>
  <c r="X156" i="119"/>
  <c r="Z155" i="119" a="1"/>
  <c r="Z155" i="119"/>
  <c r="X154" i="119" a="1"/>
  <c r="X154" i="119"/>
  <c r="AC151" i="119" a="1"/>
  <c r="AC151" i="119"/>
  <c r="Y150" i="119" a="1"/>
  <c r="Y150" i="119"/>
  <c r="U149" i="119" a="1"/>
  <c r="U149" i="119"/>
  <c r="Z144" i="119" a="1"/>
  <c r="Z144" i="119"/>
  <c r="T144" i="119" a="1"/>
  <c r="T144" i="119"/>
  <c r="V143" i="119" a="1"/>
  <c r="V143" i="119"/>
  <c r="V142" i="119" a="1"/>
  <c r="V142" i="119"/>
  <c r="AB162" i="119" a="1"/>
  <c r="AB162" i="119"/>
  <c r="Z160" i="119" a="1"/>
  <c r="Z160" i="119"/>
  <c r="AC157" i="119" a="1"/>
  <c r="AC157" i="119"/>
  <c r="Y156" i="119" a="1"/>
  <c r="Y156" i="119"/>
  <c r="U155" i="119" a="1"/>
  <c r="U155" i="119"/>
  <c r="Y154" i="119" a="1"/>
  <c r="Y154" i="119"/>
  <c r="X149" i="119" a="1"/>
  <c r="X149" i="119"/>
  <c r="AA144" i="119" a="1"/>
  <c r="AA144" i="119"/>
  <c r="AA146" i="119"/>
  <c r="AM14" i="119"/>
  <c r="Y14" i="119"/>
  <c r="T142" i="119" a="1"/>
  <c r="T142" i="119"/>
  <c r="U161" i="119" a="1"/>
  <c r="U161" i="119"/>
  <c r="Y160" i="118" a="1"/>
  <c r="Y160" i="118"/>
  <c r="Y155" i="118" a="1"/>
  <c r="Y155" i="118"/>
  <c r="Y143" i="118" a="1"/>
  <c r="Y143" i="118"/>
  <c r="U142" i="118" a="1"/>
  <c r="U142" i="118"/>
  <c r="Y162" i="118" a="1"/>
  <c r="Y162" i="118"/>
  <c r="AC161" i="118" a="1"/>
  <c r="AC161" i="118"/>
  <c r="U160" i="118" a="1"/>
  <c r="U160" i="118"/>
  <c r="X156" i="118" a="1"/>
  <c r="X156" i="118"/>
  <c r="AB155" i="118" a="1"/>
  <c r="AB155" i="118"/>
  <c r="T155" i="118" a="1"/>
  <c r="T155" i="118"/>
  <c r="AC151" i="118" a="1"/>
  <c r="AC151" i="118"/>
  <c r="Y150" i="118" a="1"/>
  <c r="Y150" i="118"/>
  <c r="AC149" i="118" a="1"/>
  <c r="AC149" i="118"/>
  <c r="AA148" i="118" a="1"/>
  <c r="AA148" i="118"/>
  <c r="AA152" i="118"/>
  <c r="X144" i="118" a="1"/>
  <c r="X144" i="118"/>
  <c r="V143" i="118" a="1"/>
  <c r="V143" i="118"/>
  <c r="T142" i="118" a="1"/>
  <c r="T142" i="118"/>
  <c r="AB161" i="118" a="1"/>
  <c r="AB161" i="118"/>
  <c r="T161" i="118" a="1"/>
  <c r="T161" i="118"/>
  <c r="X160" i="118" a="1"/>
  <c r="X160" i="118"/>
  <c r="AC157" i="118" a="1"/>
  <c r="AC157" i="118"/>
  <c r="AA156" i="118" a="1"/>
  <c r="AA156" i="118"/>
  <c r="AC155" i="118" a="1"/>
  <c r="AC155" i="118"/>
  <c r="W155" i="118" a="1"/>
  <c r="W155" i="118"/>
  <c r="Y154" i="118" a="1"/>
  <c r="Y154" i="118"/>
  <c r="X150" i="118" a="1"/>
  <c r="X150" i="118"/>
  <c r="AB149" i="118" a="1"/>
  <c r="AB149" i="118"/>
  <c r="V149" i="118" a="1"/>
  <c r="V149" i="118"/>
  <c r="V152" i="118"/>
  <c r="T148" i="118" a="1"/>
  <c r="T148" i="118"/>
  <c r="AA144" i="118" a="1"/>
  <c r="AA144" i="118"/>
  <c r="U144" i="118" a="1"/>
  <c r="U144" i="118"/>
  <c r="AA142" i="118" a="1"/>
  <c r="AA142" i="118"/>
  <c r="Z142" i="118" a="1"/>
  <c r="Z142" i="118"/>
  <c r="Z146" i="118"/>
  <c r="AM13" i="118"/>
  <c r="Y13" i="118"/>
  <c r="Y148" i="118" a="1"/>
  <c r="Y148" i="118"/>
  <c r="Y156" i="118" a="1"/>
  <c r="Y156" i="118"/>
  <c r="T149" i="118" a="1"/>
  <c r="T149" i="118"/>
  <c r="W143" i="118" a="1"/>
  <c r="W143" i="118"/>
  <c r="W146" i="118"/>
  <c r="AM10" i="118"/>
  <c r="Y10" i="118"/>
  <c r="Y142" i="118" a="1"/>
  <c r="Y142" i="118"/>
  <c r="W161" i="118" a="1"/>
  <c r="W161" i="118"/>
  <c r="AC162" i="118" a="1"/>
  <c r="AC162" i="118"/>
  <c r="Y161" i="118" a="1"/>
  <c r="Y161" i="118"/>
  <c r="Z156" i="118" a="1"/>
  <c r="Z156" i="118"/>
  <c r="T156" i="118" a="1"/>
  <c r="T156" i="118"/>
  <c r="X155" i="118" a="1"/>
  <c r="X155" i="118"/>
  <c r="Z154" i="118" a="1"/>
  <c r="Z154" i="118"/>
  <c r="T154" i="118" a="1"/>
  <c r="T154" i="118"/>
  <c r="W150" i="118" a="1"/>
  <c r="W150" i="118"/>
  <c r="Y149" i="118" a="1"/>
  <c r="Y149" i="118"/>
  <c r="AC148" i="118" a="1"/>
  <c r="AC148" i="118"/>
  <c r="W148" i="118" a="1"/>
  <c r="W148" i="118"/>
  <c r="AB144" i="118" a="1"/>
  <c r="AB144" i="118"/>
  <c r="T144" i="118" a="1"/>
  <c r="T144" i="118"/>
  <c r="X143" i="118" a="1"/>
  <c r="X143" i="118"/>
  <c r="AB142" i="118" a="1"/>
  <c r="AB142" i="118"/>
  <c r="Z162" i="118" a="1"/>
  <c r="Z162" i="118"/>
  <c r="Z164" i="118"/>
  <c r="X161" i="118" a="1"/>
  <c r="X161" i="118"/>
  <c r="V160" i="118" a="1"/>
  <c r="V160" i="118"/>
  <c r="AC156" i="118" a="1"/>
  <c r="AC156" i="118"/>
  <c r="W156" i="118" a="1"/>
  <c r="W156" i="118"/>
  <c r="AC154" i="118" a="1"/>
  <c r="AC154" i="118"/>
  <c r="AB150" i="118" a="1"/>
  <c r="AB150" i="118"/>
  <c r="AC163" i="117" a="1"/>
  <c r="AC163" i="117"/>
  <c r="AC162" i="117" a="1"/>
  <c r="AC162" i="117"/>
  <c r="W162" i="117" a="1"/>
  <c r="W162" i="117"/>
  <c r="AA160" i="117" a="1"/>
  <c r="AA160" i="117"/>
  <c r="AB156" i="117" a="1"/>
  <c r="AB156" i="117"/>
  <c r="Z155" i="117" a="1"/>
  <c r="Z155" i="117"/>
  <c r="T155" i="117" a="1"/>
  <c r="T155" i="117"/>
  <c r="X154" i="117" a="1"/>
  <c r="X154" i="117"/>
  <c r="W150" i="117" a="1"/>
  <c r="W150" i="117"/>
  <c r="AA149" i="117" a="1"/>
  <c r="AA149" i="117"/>
  <c r="U149" i="117" a="1"/>
  <c r="U149" i="117"/>
  <c r="Z143" i="117" a="1"/>
  <c r="Z143" i="117"/>
  <c r="X142" i="117" a="1"/>
  <c r="X142" i="117"/>
  <c r="W142" i="117" a="1"/>
  <c r="W142" i="117"/>
  <c r="AB162" i="117" a="1"/>
  <c r="AB162" i="117"/>
  <c r="X161" i="117" a="1"/>
  <c r="X161" i="117"/>
  <c r="AB160" i="117" a="1"/>
  <c r="AB160" i="117"/>
  <c r="V160" i="117" a="1"/>
  <c r="V160" i="117"/>
  <c r="W156" i="117" a="1"/>
  <c r="W156" i="117"/>
  <c r="AA155" i="117" a="1"/>
  <c r="AA155" i="117"/>
  <c r="AA154" i="117" a="1"/>
  <c r="AA154" i="117"/>
  <c r="U154" i="117" a="1"/>
  <c r="U154" i="117"/>
  <c r="Z150" i="117" a="1"/>
  <c r="Z150" i="117"/>
  <c r="T150" i="117" a="1"/>
  <c r="T150" i="117"/>
  <c r="X149" i="117" a="1"/>
  <c r="X149" i="117"/>
  <c r="AB148" i="117" a="1"/>
  <c r="AB148" i="117"/>
  <c r="AC142" i="117" a="1"/>
  <c r="AC142" i="117"/>
  <c r="AC150" i="117" a="1"/>
  <c r="AC150" i="117"/>
  <c r="AB143" i="117" a="1"/>
  <c r="AB143" i="117"/>
  <c r="Z142" i="117" a="1"/>
  <c r="Z142" i="117"/>
  <c r="AB144" i="117" a="1"/>
  <c r="AB144" i="117"/>
  <c r="AC156" i="117" a="1"/>
  <c r="AC156" i="117"/>
  <c r="W155" i="117" a="1"/>
  <c r="W155" i="117"/>
  <c r="Y154" i="117" a="1"/>
  <c r="Y154" i="117"/>
  <c r="AB149" i="117" a="1"/>
  <c r="AB149" i="117"/>
  <c r="V149" i="117" a="1"/>
  <c r="V149" i="117"/>
  <c r="X148" i="117" a="1"/>
  <c r="X148" i="117"/>
  <c r="AA143" i="117" a="1"/>
  <c r="AA143" i="117"/>
  <c r="Y142" i="117" a="1"/>
  <c r="Y142" i="117"/>
  <c r="U162" i="117" a="1"/>
  <c r="U162" i="117"/>
  <c r="U155" i="117" a="1"/>
  <c r="U155" i="117"/>
  <c r="AA161" i="117" a="1"/>
  <c r="AA161" i="117"/>
  <c r="Y162" i="117" a="1"/>
  <c r="Y162" i="117"/>
  <c r="W160" i="117" a="1"/>
  <c r="W160" i="117"/>
  <c r="Z156" i="117" a="1"/>
  <c r="Z156" i="117"/>
  <c r="T156" i="117" a="1"/>
  <c r="T156" i="117"/>
  <c r="V155" i="117" a="1"/>
  <c r="V155" i="117"/>
  <c r="T154" i="117" a="1"/>
  <c r="T154" i="117"/>
  <c r="AA150" i="117" a="1"/>
  <c r="AA150" i="117"/>
  <c r="AC149" i="117" a="1"/>
  <c r="AC149" i="117"/>
  <c r="AA148" i="117" a="1"/>
  <c r="AA148" i="117"/>
  <c r="X144" i="117" a="1"/>
  <c r="X144" i="117"/>
  <c r="AB142" i="117" a="1"/>
  <c r="AB142" i="117"/>
  <c r="Z148" i="117" a="1"/>
  <c r="Z148" i="117"/>
  <c r="W144" i="117" a="1"/>
  <c r="W144" i="117"/>
  <c r="U143" i="117" a="1"/>
  <c r="U143" i="117"/>
  <c r="X162" i="117" a="1"/>
  <c r="X162" i="117"/>
  <c r="V161" i="117" a="1"/>
  <c r="V161" i="117"/>
  <c r="AC157" i="117" a="1"/>
  <c r="AC157" i="117"/>
  <c r="AA156" i="117" a="1"/>
  <c r="AA156" i="117"/>
  <c r="U156" i="117" a="1"/>
  <c r="U156" i="117"/>
  <c r="X150" i="117" a="1"/>
  <c r="X150" i="117"/>
  <c r="U142" i="117" a="1"/>
  <c r="U142" i="117"/>
  <c r="U148" i="117" a="1"/>
  <c r="U148" i="117"/>
  <c r="AB150" i="117" a="1"/>
  <c r="AB150" i="117"/>
  <c r="U161" i="116" a="1"/>
  <c r="U161" i="116"/>
  <c r="W161" i="116" a="1"/>
  <c r="W161" i="116"/>
  <c r="AC162" i="116" a="1"/>
  <c r="AC162" i="116"/>
  <c r="U162" i="116" a="1"/>
  <c r="U162" i="116"/>
  <c r="Z156" i="116" a="1"/>
  <c r="Z156" i="116"/>
  <c r="AB155" i="116" a="1"/>
  <c r="AB155" i="116"/>
  <c r="V155" i="116" a="1"/>
  <c r="V155" i="116"/>
  <c r="V154" i="116" a="1"/>
  <c r="V154" i="116"/>
  <c r="Y150" i="116" a="1"/>
  <c r="Y150" i="116"/>
  <c r="AC149" i="116" a="1"/>
  <c r="AC149" i="116"/>
  <c r="W149" i="116" a="1"/>
  <c r="W149" i="116"/>
  <c r="W148" i="116" a="1"/>
  <c r="W148" i="116"/>
  <c r="AB143" i="116" a="1"/>
  <c r="AB143" i="116"/>
  <c r="Z142" i="116" a="1"/>
  <c r="Z142" i="116"/>
  <c r="W142" i="116" a="1"/>
  <c r="W142" i="116"/>
  <c r="AB162" i="116" a="1"/>
  <c r="AB162" i="116"/>
  <c r="V162" i="116" a="1"/>
  <c r="V162" i="116"/>
  <c r="Z161" i="116" a="1"/>
  <c r="Z161" i="116"/>
  <c r="AB160" i="116" a="1"/>
  <c r="AB160" i="116"/>
  <c r="Y156" i="116" a="1"/>
  <c r="Y156" i="116"/>
  <c r="AA155" i="116" a="1"/>
  <c r="AA155" i="116"/>
  <c r="Y154" i="116" a="1"/>
  <c r="Y154" i="116"/>
  <c r="X150" i="116" a="1"/>
  <c r="X150" i="116"/>
  <c r="V149" i="116" a="1"/>
  <c r="V149" i="116"/>
  <c r="Z148" i="116" a="1"/>
  <c r="Z148" i="116"/>
  <c r="T148" i="116" a="1"/>
  <c r="T148" i="116"/>
  <c r="AC143" i="116" a="1"/>
  <c r="AC143" i="116"/>
  <c r="W143" i="116" a="1"/>
  <c r="W143" i="116"/>
  <c r="Y142" i="116" a="1"/>
  <c r="Y142" i="116"/>
  <c r="Y146" i="116"/>
  <c r="AM12" i="116"/>
  <c r="Y12" i="116"/>
  <c r="X144" i="116" a="1"/>
  <c r="X144" i="116"/>
  <c r="X142" i="116" a="1"/>
  <c r="X142" i="116"/>
  <c r="AC163" i="116" a="1"/>
  <c r="AC163" i="116"/>
  <c r="AA162" i="116" a="1"/>
  <c r="AA162" i="116"/>
  <c r="AC161" i="116" a="1"/>
  <c r="AC161" i="116"/>
  <c r="W160" i="116" a="1"/>
  <c r="W160" i="116"/>
  <c r="X156" i="116" a="1"/>
  <c r="X156" i="116"/>
  <c r="Z154" i="116" a="1"/>
  <c r="Z154" i="116"/>
  <c r="Z158" i="116"/>
  <c r="T154" i="116" a="1"/>
  <c r="T154" i="116"/>
  <c r="W150" i="116" a="1"/>
  <c r="W150" i="116"/>
  <c r="AA149" i="116" a="1"/>
  <c r="AA149" i="116"/>
  <c r="U149" i="116" a="1"/>
  <c r="U149" i="116"/>
  <c r="Z144" i="116" a="1"/>
  <c r="Z144" i="116"/>
  <c r="X143" i="116" a="1"/>
  <c r="X143" i="116"/>
  <c r="V142" i="116" a="1"/>
  <c r="V142" i="116"/>
  <c r="Z162" i="116" a="1"/>
  <c r="Z162" i="116"/>
  <c r="T162" i="116" a="1"/>
  <c r="T162" i="116"/>
  <c r="X161" i="116" a="1"/>
  <c r="X161" i="116"/>
  <c r="V160" i="116" a="1"/>
  <c r="V160" i="116"/>
  <c r="AC156" i="116" a="1"/>
  <c r="AC156" i="116"/>
  <c r="W156" i="116" a="1"/>
  <c r="W156" i="116"/>
  <c r="U155" i="116" a="1"/>
  <c r="U155" i="116"/>
  <c r="U158" i="116"/>
  <c r="W154" i="116" a="1"/>
  <c r="W154" i="116"/>
  <c r="AB149" i="116" a="1"/>
  <c r="AB149" i="116"/>
  <c r="AB152" i="116"/>
  <c r="AB166" i="116"/>
  <c r="T149" i="116" a="1"/>
  <c r="T149" i="116"/>
  <c r="X148" i="116" a="1"/>
  <c r="X148" i="116"/>
  <c r="AC145" i="116" a="1"/>
  <c r="AC145" i="116"/>
  <c r="AA144" i="116" a="1"/>
  <c r="AA144" i="116"/>
  <c r="AA143" i="116" a="1"/>
  <c r="AA143" i="116"/>
  <c r="U143" i="116" a="1"/>
  <c r="U143" i="116"/>
  <c r="V143" i="116" a="1"/>
  <c r="V143" i="116"/>
  <c r="AC160" i="116" a="1"/>
  <c r="AC160" i="116"/>
  <c r="W162" i="116" a="1"/>
  <c r="W162" i="116"/>
  <c r="Y161" i="116" a="1"/>
  <c r="Y161" i="116"/>
  <c r="Y164" i="116"/>
  <c r="AB156" i="116" a="1"/>
  <c r="AB156" i="116"/>
  <c r="T156" i="116" a="1"/>
  <c r="T156" i="116"/>
  <c r="X155" i="116" a="1"/>
  <c r="X155" i="116"/>
  <c r="AB154" i="116" a="1"/>
  <c r="AB154" i="116"/>
  <c r="AC151" i="116" a="1"/>
  <c r="AC151" i="116"/>
  <c r="AA150" i="116" a="1"/>
  <c r="AA150" i="116"/>
  <c r="Y149" i="116" a="1"/>
  <c r="Y149" i="116"/>
  <c r="Y148" i="116" a="1"/>
  <c r="Y148" i="116"/>
  <c r="T143" i="116" a="1"/>
  <c r="T143" i="116"/>
  <c r="AA142" i="116" a="1"/>
  <c r="AA142" i="116"/>
  <c r="AB161" i="116" a="1"/>
  <c r="AB161" i="116"/>
  <c r="T161" i="116" a="1"/>
  <c r="T161" i="116"/>
  <c r="X160" i="116" a="1"/>
  <c r="X160" i="116"/>
  <c r="AC157" i="116" a="1"/>
  <c r="AC157" i="116"/>
  <c r="AA156" i="116" a="1"/>
  <c r="AA156" i="116"/>
  <c r="AC155" i="116" a="1"/>
  <c r="AC155" i="116"/>
  <c r="W155" i="116" a="1"/>
  <c r="W155" i="116"/>
  <c r="Z150" i="116" a="1"/>
  <c r="Z150" i="116"/>
  <c r="T150" i="116" a="1"/>
  <c r="T150" i="116"/>
  <c r="AC144" i="116" a="1"/>
  <c r="AC144" i="116"/>
  <c r="W154" i="115" a="1"/>
  <c r="W154" i="115"/>
  <c r="AB150" i="115" a="1"/>
  <c r="AB150" i="115"/>
  <c r="T150" i="115" a="1"/>
  <c r="T150" i="115"/>
  <c r="X149" i="115" a="1"/>
  <c r="X149" i="115"/>
  <c r="Z148" i="115" a="1"/>
  <c r="Z148" i="115"/>
  <c r="Y144" i="115" a="1"/>
  <c r="Y144" i="115"/>
  <c r="AC143" i="115" a="1"/>
  <c r="AC143" i="115"/>
  <c r="AC142" i="115" a="1"/>
  <c r="AC142" i="115"/>
  <c r="V161" i="115" a="1"/>
  <c r="V161" i="115"/>
  <c r="U156" i="115" a="1"/>
  <c r="U156" i="115"/>
  <c r="W155" i="115" a="1"/>
  <c r="W155" i="115"/>
  <c r="AA154" i="115" a="1"/>
  <c r="AA154" i="115"/>
  <c r="X150" i="115" a="1"/>
  <c r="X150" i="115"/>
  <c r="Z149" i="115" a="1"/>
  <c r="Z149" i="115"/>
  <c r="T149" i="115" a="1"/>
  <c r="T149" i="115"/>
  <c r="V148" i="115" a="1"/>
  <c r="V148" i="115"/>
  <c r="W144" i="115" a="1"/>
  <c r="W144" i="115"/>
  <c r="Y143" i="115" a="1"/>
  <c r="Y143" i="115"/>
  <c r="Y156" i="115" a="1"/>
  <c r="Y156" i="115"/>
  <c r="U155" i="115" a="1"/>
  <c r="U155" i="115"/>
  <c r="Y154" i="115" a="1"/>
  <c r="Y154" i="115"/>
  <c r="T148" i="115" a="1"/>
  <c r="T148" i="115"/>
  <c r="AA144" i="115" a="1"/>
  <c r="AA144" i="115"/>
  <c r="AC160" i="92" a="1"/>
  <c r="AC160" i="92"/>
  <c r="Z142" i="92" a="1"/>
  <c r="Z142" i="92"/>
  <c r="AC145" i="92" a="1"/>
  <c r="AC145" i="92"/>
  <c r="Y161" i="92" a="1"/>
  <c r="Y161" i="92"/>
  <c r="AA149" i="92" a="1"/>
  <c r="AA149" i="92"/>
  <c r="AA156" i="92" a="1"/>
  <c r="AA156" i="92"/>
  <c r="AB156" i="92" a="1"/>
  <c r="AB156" i="92"/>
  <c r="AA148" i="92" a="1"/>
  <c r="AA148" i="92"/>
  <c r="Y156" i="92" a="1"/>
  <c r="Y156" i="92"/>
  <c r="AC144" i="92" a="1"/>
  <c r="AC144" i="92"/>
  <c r="Y149" i="92" a="1"/>
  <c r="Y149" i="92"/>
  <c r="U162" i="92" a="1"/>
  <c r="U162" i="92"/>
  <c r="U156" i="92" a="1"/>
  <c r="U156" i="92"/>
  <c r="U154" i="92" a="1"/>
  <c r="U154" i="92"/>
  <c r="U150" i="92" a="1"/>
  <c r="U150" i="92"/>
  <c r="U149" i="92" a="1"/>
  <c r="U149" i="92"/>
  <c r="X156" i="92" a="1"/>
  <c r="X156" i="92"/>
  <c r="V148" i="92" a="1"/>
  <c r="V148" i="92"/>
  <c r="U144" i="92" a="1"/>
  <c r="U144" i="92"/>
  <c r="W143" i="92" a="1"/>
  <c r="W143" i="92"/>
  <c r="V155" i="92" a="1"/>
  <c r="V155" i="92"/>
  <c r="X144" i="92" a="1"/>
  <c r="X144" i="92"/>
  <c r="W150" i="92" a="1"/>
  <c r="W150" i="92"/>
  <c r="X161" i="92" a="1"/>
  <c r="X161" i="92"/>
  <c r="V144" i="92" a="1"/>
  <c r="V144" i="92"/>
  <c r="X143" i="92" a="1"/>
  <c r="X143" i="92"/>
  <c r="X154" i="92" a="1"/>
  <c r="X154" i="92"/>
  <c r="AB155" i="92" a="1"/>
  <c r="AB155" i="92"/>
  <c r="AB150" i="92" a="1"/>
  <c r="AB150" i="92"/>
  <c r="AC143" i="92" a="1"/>
  <c r="AC143" i="92"/>
  <c r="W154" i="92" a="1"/>
  <c r="W154" i="92"/>
  <c r="AA154" i="92" a="1"/>
  <c r="AA154" i="92"/>
  <c r="AB154" i="92" a="1"/>
  <c r="AB154" i="92"/>
  <c r="AC149" i="92" a="1"/>
  <c r="AC149" i="92"/>
  <c r="Z148" i="92" a="1"/>
  <c r="Z148" i="92"/>
  <c r="Y143" i="92" a="1"/>
  <c r="Y143" i="92"/>
  <c r="Y155" i="92" a="1"/>
  <c r="Y155" i="92"/>
  <c r="AC155" i="92" a="1"/>
  <c r="AC155" i="92"/>
  <c r="AA160" i="92" a="1"/>
  <c r="AA160" i="92"/>
  <c r="Y154" i="92" a="1"/>
  <c r="Y154" i="92"/>
  <c r="AC150" i="92" a="1"/>
  <c r="AC150" i="92"/>
  <c r="AA161" i="92" a="1"/>
  <c r="AA161" i="92"/>
  <c r="AC161" i="92" a="1"/>
  <c r="AC161" i="92"/>
  <c r="Z161" i="92" a="1"/>
  <c r="Z161" i="92"/>
  <c r="AC151" i="92" a="1"/>
  <c r="AC151" i="92"/>
  <c r="AC148" i="92" a="1"/>
  <c r="AC148" i="92"/>
  <c r="Z150" i="92" a="1"/>
  <c r="Z150" i="92"/>
  <c r="Y148" i="92" a="1"/>
  <c r="Y148" i="92"/>
  <c r="V160" i="92" a="1"/>
  <c r="V160" i="92"/>
  <c r="W149" i="92" a="1"/>
  <c r="W149" i="92"/>
  <c r="X150" i="92" a="1"/>
  <c r="X150" i="92"/>
  <c r="Y150" i="92" a="1"/>
  <c r="Y150" i="92"/>
  <c r="W160" i="92" a="1"/>
  <c r="W160" i="92"/>
  <c r="V149" i="92" a="1"/>
  <c r="V149" i="92"/>
  <c r="W162" i="92" a="1"/>
  <c r="W162" i="92"/>
  <c r="Z156" i="92" a="1"/>
  <c r="Z156" i="92"/>
  <c r="AB143" i="92" a="1"/>
  <c r="AB143" i="92"/>
  <c r="AA162" i="92" a="1"/>
  <c r="AA162" i="92"/>
  <c r="AB149" i="92" a="1"/>
  <c r="AB149" i="92"/>
  <c r="Z162" i="92" a="1"/>
  <c r="Z162" i="92"/>
  <c r="Z143" i="92" a="1"/>
  <c r="Z143" i="92"/>
  <c r="W155" i="92" a="1"/>
  <c r="W155" i="92"/>
  <c r="AB161" i="92" a="1"/>
  <c r="AB161" i="92"/>
  <c r="AB160" i="92" a="1"/>
  <c r="AB160" i="92"/>
  <c r="AC156" i="92" a="1"/>
  <c r="AC156" i="92"/>
  <c r="AC162" i="92" a="1"/>
  <c r="AC162" i="92"/>
  <c r="Z149" i="92" a="1"/>
  <c r="Z149" i="92"/>
  <c r="AC142" i="92" a="1"/>
  <c r="AC142" i="92"/>
  <c r="AB162" i="92" a="1"/>
  <c r="AB162" i="92"/>
  <c r="AB142" i="92" a="1"/>
  <c r="AB142" i="92"/>
  <c r="Y160" i="92" a="1"/>
  <c r="Y160" i="92"/>
  <c r="V150" i="92" a="1"/>
  <c r="V150" i="92"/>
  <c r="X149" i="92" a="1"/>
  <c r="X149" i="92"/>
  <c r="V143" i="92" a="1"/>
  <c r="V143" i="92"/>
  <c r="T148" i="92" a="1"/>
  <c r="T148" i="92"/>
  <c r="U155" i="92" a="1"/>
  <c r="U155" i="92"/>
  <c r="W24" i="119"/>
  <c r="Y24" i="92"/>
  <c r="U24" i="119"/>
  <c r="U24" i="92"/>
  <c r="W24" i="118"/>
  <c r="W24" i="117"/>
  <c r="W24" i="92"/>
  <c r="T149" i="92" a="1"/>
  <c r="T149" i="92"/>
  <c r="T161" i="92" a="1"/>
  <c r="T161" i="92"/>
  <c r="T162" i="92" a="1"/>
  <c r="T162" i="92"/>
  <c r="T154" i="92" a="1"/>
  <c r="T154" i="92"/>
  <c r="T143" i="92" a="1"/>
  <c r="T143" i="92"/>
  <c r="T160" i="92" a="1"/>
  <c r="T160" i="92"/>
  <c r="T142" i="92" a="1"/>
  <c r="T142" i="92"/>
  <c r="T150" i="92" a="1"/>
  <c r="T150" i="92"/>
  <c r="T155" i="92" a="1"/>
  <c r="T155" i="92"/>
  <c r="T144" i="92" a="1"/>
  <c r="T144" i="92"/>
  <c r="S138" i="77" a="1"/>
  <c r="S138" i="77"/>
  <c r="S137" i="77" a="1"/>
  <c r="S137" i="77"/>
  <c r="S155" i="77" a="1"/>
  <c r="S155" i="77"/>
  <c r="S144" i="77" a="1"/>
  <c r="S144" i="77"/>
  <c r="V150" i="77" a="1"/>
  <c r="V150" i="77"/>
  <c r="V138" i="77" a="1"/>
  <c r="V138" i="77"/>
  <c r="V143" i="77" a="1"/>
  <c r="V143" i="77"/>
  <c r="W143" i="77" a="1"/>
  <c r="W143" i="77"/>
  <c r="W149" i="77" a="1"/>
  <c r="W149" i="77"/>
  <c r="S139" i="77" a="1"/>
  <c r="S139" i="77"/>
  <c r="S151" i="77" a="1"/>
  <c r="S151" i="77"/>
  <c r="S149" i="77" a="1"/>
  <c r="S149" i="77"/>
  <c r="S150" i="77" a="1"/>
  <c r="S150" i="77"/>
  <c r="V139" i="77" a="1"/>
  <c r="V139" i="77"/>
  <c r="V145" i="77" a="1"/>
  <c r="V145" i="77"/>
  <c r="V144" i="77" a="1"/>
  <c r="V144" i="77"/>
  <c r="W139" i="77" a="1"/>
  <c r="W139" i="77"/>
  <c r="U155" i="77" a="1"/>
  <c r="U155" i="77"/>
  <c r="M18" i="77"/>
  <c r="M22" i="77"/>
  <c r="V155" i="77" a="1"/>
  <c r="V155" i="77"/>
  <c r="M17" i="77"/>
  <c r="O17" i="77"/>
  <c r="AA142" i="92" a="1"/>
  <c r="AA142" i="92"/>
  <c r="T145" i="77" a="1"/>
  <c r="T145" i="77"/>
  <c r="T149" i="77" a="1"/>
  <c r="T149" i="77"/>
  <c r="T137" i="77" a="1"/>
  <c r="T137" i="77"/>
  <c r="U143" i="77" a="1"/>
  <c r="U143" i="77"/>
  <c r="U139" i="77" a="1"/>
  <c r="U139" i="77"/>
  <c r="U150" i="77" a="1"/>
  <c r="U150" i="77"/>
  <c r="U145" i="77" a="1"/>
  <c r="U145" i="77"/>
  <c r="U157" i="77" a="1"/>
  <c r="U157" i="77"/>
  <c r="U151" i="77" a="1"/>
  <c r="U151" i="77"/>
  <c r="U156" i="77" a="1"/>
  <c r="U156" i="77"/>
  <c r="U149" i="77" a="1"/>
  <c r="U149" i="77"/>
  <c r="AB148" i="120" a="1"/>
  <c r="AB148" i="120"/>
  <c r="S156" i="77" a="1"/>
  <c r="S156" i="77"/>
  <c r="S157" i="77" a="1"/>
  <c r="S157" i="77"/>
  <c r="W156" i="77" a="1"/>
  <c r="W156" i="77"/>
  <c r="W151" i="77" a="1"/>
  <c r="W151" i="77"/>
  <c r="W155" i="77" a="1"/>
  <c r="W155" i="77"/>
  <c r="W137" i="77" a="1"/>
  <c r="W137" i="77"/>
  <c r="W138" i="77" a="1"/>
  <c r="W138" i="77"/>
  <c r="W144" i="77" a="1"/>
  <c r="W144" i="77"/>
  <c r="W150" i="77" a="1"/>
  <c r="W150" i="77"/>
  <c r="V156" i="77" a="1"/>
  <c r="V156" i="77"/>
  <c r="H30" i="77"/>
  <c r="U155" i="118" a="1"/>
  <c r="U155" i="118"/>
  <c r="U158" i="118"/>
  <c r="AC160" i="118" a="1"/>
  <c r="AC160" i="118"/>
  <c r="W142" i="120" a="1"/>
  <c r="W142" i="120"/>
  <c r="Q31" i="115"/>
  <c r="Y31" i="115"/>
  <c r="Q31" i="116"/>
  <c r="Y31" i="116"/>
  <c r="Q29" i="117"/>
  <c r="Y29" i="117"/>
  <c r="Q31" i="117"/>
  <c r="Y31" i="117"/>
  <c r="Q31" i="119"/>
  <c r="Y31" i="119"/>
  <c r="Q29" i="120"/>
  <c r="Y29" i="120"/>
  <c r="Q30" i="121"/>
  <c r="Y30" i="121"/>
  <c r="U31" i="116"/>
  <c r="U31" i="118"/>
  <c r="X35" i="121"/>
  <c r="K35" i="121"/>
  <c r="X35" i="117"/>
  <c r="K35" i="117"/>
  <c r="W31" i="116"/>
  <c r="W31" i="118"/>
  <c r="Q29" i="115"/>
  <c r="Y29" i="115"/>
  <c r="Q29" i="118"/>
  <c r="Y29" i="118"/>
  <c r="Q30" i="120"/>
  <c r="Y30" i="120"/>
  <c r="U31" i="115"/>
  <c r="U30" i="116"/>
  <c r="U30" i="118"/>
  <c r="U29" i="119"/>
  <c r="U29" i="121"/>
  <c r="X35" i="119"/>
  <c r="K35" i="119"/>
  <c r="X35" i="115"/>
  <c r="K35" i="115"/>
  <c r="U32" i="92"/>
  <c r="Y32" i="118"/>
  <c r="AB158" i="117"/>
  <c r="U24" i="115"/>
  <c r="O16" i="77"/>
  <c r="O25" i="77"/>
  <c r="Q25" i="77"/>
  <c r="M16" i="77"/>
  <c r="M25" i="77"/>
  <c r="W29" i="118"/>
  <c r="W31" i="92"/>
  <c r="W30" i="117"/>
  <c r="W31" i="115"/>
  <c r="U24" i="117"/>
  <c r="Y24" i="120"/>
  <c r="Y24" i="118"/>
  <c r="Y24" i="119"/>
  <c r="Y24" i="115"/>
  <c r="Y24" i="116"/>
  <c r="U31" i="117"/>
  <c r="W29" i="117"/>
  <c r="U29" i="117"/>
  <c r="W31" i="117"/>
  <c r="U30" i="117"/>
  <c r="U29" i="118"/>
  <c r="U32" i="118"/>
  <c r="W30" i="118"/>
  <c r="W32" i="118"/>
  <c r="W29" i="119"/>
  <c r="U31" i="119"/>
  <c r="U32" i="119"/>
  <c r="W31" i="119"/>
  <c r="U30" i="120"/>
  <c r="W31" i="120"/>
  <c r="U31" i="120"/>
  <c r="W29" i="120"/>
  <c r="W30" i="120"/>
  <c r="U29" i="120"/>
  <c r="U30" i="121"/>
  <c r="W31" i="121"/>
  <c r="W30" i="121"/>
  <c r="U31" i="121"/>
  <c r="W29" i="121"/>
  <c r="Y24" i="121"/>
  <c r="Y24" i="117"/>
  <c r="W30" i="116"/>
  <c r="W29" i="116"/>
  <c r="U29" i="116"/>
  <c r="U32" i="116"/>
  <c r="Y32" i="116"/>
  <c r="U29" i="115"/>
  <c r="W29" i="115"/>
  <c r="W30" i="115"/>
  <c r="U30" i="115"/>
  <c r="T146" i="116"/>
  <c r="AM7" i="116"/>
  <c r="Y7" i="116"/>
  <c r="Z158" i="115"/>
  <c r="AC152" i="115"/>
  <c r="V146" i="115"/>
  <c r="AM9" i="115"/>
  <c r="Y9" i="115"/>
  <c r="W164" i="115"/>
  <c r="W152" i="115"/>
  <c r="W166" i="115"/>
  <c r="AC10" i="115"/>
  <c r="U10" i="115"/>
  <c r="Y164" i="115"/>
  <c r="W30" i="92"/>
  <c r="Y29" i="92"/>
  <c r="Y32" i="92"/>
  <c r="W29" i="92"/>
  <c r="Z158" i="92"/>
  <c r="AB158" i="120"/>
  <c r="W164" i="118"/>
  <c r="T164" i="117"/>
  <c r="W152" i="117"/>
  <c r="T158" i="116"/>
  <c r="AC146" i="119"/>
  <c r="AM16" i="119"/>
  <c r="Y16" i="119"/>
  <c r="Y152" i="115"/>
  <c r="Y166" i="115"/>
  <c r="AD12" i="115"/>
  <c r="W12" i="115"/>
  <c r="V146" i="118"/>
  <c r="AM9" i="118"/>
  <c r="Y9" i="118"/>
  <c r="Z164" i="115"/>
  <c r="Y146" i="92"/>
  <c r="AM12" i="92"/>
  <c r="Y12" i="92"/>
  <c r="V146" i="92"/>
  <c r="AM9" i="92"/>
  <c r="Y9" i="92"/>
  <c r="U164" i="115"/>
  <c r="Y146" i="120"/>
  <c r="AM12" i="120"/>
  <c r="Y12" i="120"/>
  <c r="AB158" i="115"/>
  <c r="Z152" i="121"/>
  <c r="Z166" i="121"/>
  <c r="AC13" i="121"/>
  <c r="U13" i="121"/>
  <c r="U146" i="121"/>
  <c r="AM8" i="121"/>
  <c r="Y8" i="121"/>
  <c r="U158" i="120"/>
  <c r="Z152" i="118"/>
  <c r="Z166" i="118"/>
  <c r="AD13" i="118"/>
  <c r="W13" i="118"/>
  <c r="Z164" i="117"/>
  <c r="V152" i="115"/>
  <c r="U152" i="115"/>
  <c r="U166" i="115"/>
  <c r="AD8" i="115"/>
  <c r="W8" i="115"/>
  <c r="X164" i="115"/>
  <c r="AB164" i="115"/>
  <c r="X158" i="115"/>
  <c r="Z146" i="115"/>
  <c r="AM13" i="115"/>
  <c r="Y13" i="115"/>
  <c r="X146" i="115"/>
  <c r="AM11" i="115"/>
  <c r="Y11" i="115"/>
  <c r="U146" i="115"/>
  <c r="AM8" i="115"/>
  <c r="Y8" i="115"/>
  <c r="Y32" i="119"/>
  <c r="V152" i="121"/>
  <c r="Y164" i="120"/>
  <c r="T158" i="119"/>
  <c r="T146" i="117"/>
  <c r="AM7" i="117"/>
  <c r="Y7" i="117"/>
  <c r="T159" i="77"/>
  <c r="AA164" i="121"/>
  <c r="V158" i="115"/>
  <c r="AC164" i="115"/>
  <c r="T164" i="115"/>
  <c r="X158" i="120"/>
  <c r="X146" i="120"/>
  <c r="AM11" i="120"/>
  <c r="Y11" i="120"/>
  <c r="W164" i="119"/>
  <c r="AB158" i="118"/>
  <c r="AC146" i="118"/>
  <c r="AM16" i="118"/>
  <c r="Y16" i="118"/>
  <c r="V158" i="116"/>
  <c r="X158" i="116"/>
  <c r="AC158" i="115"/>
  <c r="T158" i="115"/>
  <c r="Z152" i="115"/>
  <c r="Z166" i="115"/>
  <c r="AC13" i="115"/>
  <c r="U13" i="115"/>
  <c r="AC146" i="121"/>
  <c r="AM16" i="121"/>
  <c r="Y16" i="121"/>
  <c r="V158" i="121"/>
  <c r="U146" i="116"/>
  <c r="AM8" i="116"/>
  <c r="Y8" i="116"/>
  <c r="W164" i="117"/>
  <c r="U164" i="117"/>
  <c r="V152" i="117"/>
  <c r="U164" i="118"/>
  <c r="V158" i="118"/>
  <c r="V166" i="118"/>
  <c r="U152" i="120"/>
  <c r="U166" i="120"/>
  <c r="AD8" i="120"/>
  <c r="W8" i="120"/>
  <c r="V146" i="120"/>
  <c r="AM9" i="120"/>
  <c r="Y9" i="120"/>
  <c r="U158" i="121"/>
  <c r="AA146" i="121"/>
  <c r="AM14" i="121"/>
  <c r="Y14" i="121"/>
  <c r="X158" i="121"/>
  <c r="T146" i="121"/>
  <c r="AM7" i="121"/>
  <c r="Y7" i="121"/>
  <c r="AB158" i="121"/>
  <c r="T158" i="120"/>
  <c r="W164" i="120"/>
  <c r="T152" i="120"/>
  <c r="Z164" i="120"/>
  <c r="Z164" i="119"/>
  <c r="AC152" i="119"/>
  <c r="T146" i="119"/>
  <c r="AM7" i="119"/>
  <c r="Y7" i="119"/>
  <c r="V152" i="119"/>
  <c r="W152" i="119"/>
  <c r="W166" i="119"/>
  <c r="AD10" i="119"/>
  <c r="W10" i="119"/>
  <c r="AB146" i="118"/>
  <c r="AM15" i="118"/>
  <c r="Y15" i="118"/>
  <c r="Y146" i="118"/>
  <c r="AM12" i="118"/>
  <c r="Y12" i="118"/>
  <c r="AA158" i="118"/>
  <c r="AA166" i="118"/>
  <c r="AB164" i="118"/>
  <c r="W152" i="118"/>
  <c r="W166" i="118"/>
  <c r="AD10" i="118"/>
  <c r="W10" i="118"/>
  <c r="V164" i="118"/>
  <c r="V158" i="117"/>
  <c r="Y164" i="117"/>
  <c r="Y146" i="117"/>
  <c r="AM12" i="117"/>
  <c r="Y12" i="117"/>
  <c r="U152" i="117"/>
  <c r="Y158" i="117"/>
  <c r="V164" i="116"/>
  <c r="Y146" i="115"/>
  <c r="AM12" i="115"/>
  <c r="Y12" i="115"/>
  <c r="Y32" i="121"/>
  <c r="X152" i="118"/>
  <c r="U141" i="77"/>
  <c r="AA8" i="77"/>
  <c r="Q8" i="77"/>
  <c r="S147" i="77"/>
  <c r="S161" i="77"/>
  <c r="AA152" i="115"/>
  <c r="AA158" i="115"/>
  <c r="V146" i="121"/>
  <c r="AM9" i="121"/>
  <c r="Y9" i="121"/>
  <c r="T158" i="121"/>
  <c r="Z146" i="120"/>
  <c r="AM13" i="120"/>
  <c r="Y13" i="120"/>
  <c r="AB152" i="120"/>
  <c r="AB166" i="120"/>
  <c r="AD15" i="120"/>
  <c r="W15" i="120"/>
  <c r="X164" i="120"/>
  <c r="V158" i="120"/>
  <c r="AB164" i="120"/>
  <c r="V158" i="119"/>
  <c r="T164" i="119"/>
  <c r="AA152" i="119"/>
  <c r="AA164" i="119"/>
  <c r="AC158" i="118"/>
  <c r="X158" i="118"/>
  <c r="T164" i="116"/>
  <c r="AC158" i="116"/>
  <c r="W164" i="116"/>
  <c r="W164" i="121"/>
  <c r="W158" i="121"/>
  <c r="X146" i="121"/>
  <c r="AM11" i="121"/>
  <c r="Y11" i="121"/>
  <c r="AA152" i="121"/>
  <c r="Y152" i="121"/>
  <c r="Y166" i="121"/>
  <c r="AC12" i="121"/>
  <c r="U12" i="121"/>
  <c r="AC164" i="121"/>
  <c r="AB152" i="121"/>
  <c r="AB166" i="121"/>
  <c r="AC15" i="121"/>
  <c r="U15" i="121"/>
  <c r="V164" i="121"/>
  <c r="Z164" i="121"/>
  <c r="Y164" i="121"/>
  <c r="T152" i="121"/>
  <c r="T146" i="120"/>
  <c r="AM7" i="120"/>
  <c r="Y7" i="120"/>
  <c r="AB146" i="120"/>
  <c r="AM15" i="120"/>
  <c r="Y15" i="120"/>
  <c r="AC158" i="120"/>
  <c r="AA164" i="120"/>
  <c r="AA158" i="120"/>
  <c r="X152" i="120"/>
  <c r="X166" i="120"/>
  <c r="U146" i="120"/>
  <c r="AM8" i="120"/>
  <c r="Y8" i="120"/>
  <c r="T164" i="120"/>
  <c r="Y152" i="120"/>
  <c r="Y166" i="120"/>
  <c r="AD12" i="120"/>
  <c r="W12" i="120"/>
  <c r="V164" i="120"/>
  <c r="W158" i="120"/>
  <c r="T152" i="119"/>
  <c r="W146" i="119"/>
  <c r="AM10" i="119"/>
  <c r="Y10" i="119"/>
  <c r="V146" i="119"/>
  <c r="AM9" i="119"/>
  <c r="Y9" i="119"/>
  <c r="X158" i="119"/>
  <c r="Y164" i="119"/>
  <c r="Y146" i="119"/>
  <c r="AM12" i="119"/>
  <c r="Y12" i="119"/>
  <c r="AB152" i="119"/>
  <c r="AB158" i="119"/>
  <c r="AB166" i="119"/>
  <c r="AD15" i="119"/>
  <c r="W15" i="119"/>
  <c r="AA158" i="119"/>
  <c r="V164" i="119"/>
  <c r="U146" i="119"/>
  <c r="AM8" i="119"/>
  <c r="Y8" i="119"/>
  <c r="AB164" i="119"/>
  <c r="Z146" i="119"/>
  <c r="AM13" i="119"/>
  <c r="Y13" i="119"/>
  <c r="X146" i="119"/>
  <c r="AM11" i="119"/>
  <c r="Y11" i="119"/>
  <c r="AC164" i="118"/>
  <c r="U152" i="118"/>
  <c r="U166" i="118"/>
  <c r="AD8" i="118"/>
  <c r="W8" i="118"/>
  <c r="AB152" i="118"/>
  <c r="AB166" i="118"/>
  <c r="AD15" i="118"/>
  <c r="W15" i="118"/>
  <c r="AA164" i="118"/>
  <c r="U146" i="117"/>
  <c r="AM8" i="117"/>
  <c r="Y8" i="117"/>
  <c r="AA152" i="117"/>
  <c r="T158" i="117"/>
  <c r="I10" i="78"/>
  <c r="Y152" i="117"/>
  <c r="AA146" i="117"/>
  <c r="AM14" i="117"/>
  <c r="Y14" i="117"/>
  <c r="AC164" i="117"/>
  <c r="V146" i="117"/>
  <c r="AM9" i="117"/>
  <c r="Y9" i="117"/>
  <c r="AB146" i="117"/>
  <c r="AM15" i="117"/>
  <c r="Y15" i="117"/>
  <c r="AC152" i="117"/>
  <c r="AC146" i="117"/>
  <c r="AM16" i="117"/>
  <c r="Y16" i="117"/>
  <c r="W158" i="117"/>
  <c r="AA164" i="117"/>
  <c r="AC158" i="117"/>
  <c r="AA146" i="116"/>
  <c r="AM14" i="116"/>
  <c r="Y14" i="116"/>
  <c r="AB158" i="116"/>
  <c r="U152" i="116"/>
  <c r="U166" i="116"/>
  <c r="AD8" i="116"/>
  <c r="W8" i="116"/>
  <c r="V152" i="116"/>
  <c r="V166" i="116"/>
  <c r="AD9" i="116"/>
  <c r="W9" i="116"/>
  <c r="AA164" i="116"/>
  <c r="X164" i="116"/>
  <c r="AC164" i="116"/>
  <c r="AB146" i="116"/>
  <c r="AM15" i="116"/>
  <c r="Y15" i="116"/>
  <c r="AC152" i="116"/>
  <c r="AC146" i="116"/>
  <c r="AM16" i="116"/>
  <c r="Y16" i="116"/>
  <c r="AA152" i="116"/>
  <c r="AA158" i="116"/>
  <c r="U164" i="116"/>
  <c r="Z164" i="116"/>
  <c r="T146" i="115"/>
  <c r="AM7" i="115"/>
  <c r="Y7" i="115"/>
  <c r="V164" i="115"/>
  <c r="AA164" i="115"/>
  <c r="AB152" i="115"/>
  <c r="AB166" i="115"/>
  <c r="AC15" i="115"/>
  <c r="U15" i="115"/>
  <c r="AA146" i="115"/>
  <c r="AM14" i="115"/>
  <c r="W146" i="115"/>
  <c r="AM10" i="115"/>
  <c r="Y10" i="115"/>
  <c r="AC146" i="92"/>
  <c r="AM16" i="92"/>
  <c r="Y16" i="92"/>
  <c r="T147" i="77"/>
  <c r="T161" i="77"/>
  <c r="V153" i="77"/>
  <c r="Z146" i="92"/>
  <c r="AM13" i="92"/>
  <c r="Y13" i="92"/>
  <c r="AB158" i="92"/>
  <c r="AA146" i="92"/>
  <c r="AM14" i="92"/>
  <c r="Y14" i="92"/>
  <c r="W152" i="92"/>
  <c r="W166" i="92"/>
  <c r="AD10" i="92"/>
  <c r="W10" i="92"/>
  <c r="W164" i="92"/>
  <c r="Y158" i="92"/>
  <c r="Y164" i="92"/>
  <c r="U152" i="92"/>
  <c r="U166" i="92"/>
  <c r="AD8" i="92"/>
  <c r="W8" i="92"/>
  <c r="AB152" i="92"/>
  <c r="AB166" i="92"/>
  <c r="AD15" i="92"/>
  <c r="W15" i="92"/>
  <c r="AA164" i="92"/>
  <c r="X164" i="92"/>
  <c r="Y152" i="92"/>
  <c r="Y166" i="92"/>
  <c r="X152" i="92"/>
  <c r="Z164" i="92"/>
  <c r="AC152" i="92"/>
  <c r="X158" i="92"/>
  <c r="AB146" i="92"/>
  <c r="AM15" i="92"/>
  <c r="Y15" i="92"/>
  <c r="T158" i="92"/>
  <c r="X146" i="92"/>
  <c r="AM11" i="92"/>
  <c r="Y11" i="92"/>
  <c r="W146" i="92"/>
  <c r="AM10" i="92"/>
  <c r="Y10" i="92"/>
  <c r="U164" i="92"/>
  <c r="AA152" i="92"/>
  <c r="AB164" i="92"/>
  <c r="AC158" i="92"/>
  <c r="U146" i="92"/>
  <c r="AM8" i="92"/>
  <c r="Y8" i="92"/>
  <c r="AA158" i="121"/>
  <c r="X164" i="121"/>
  <c r="AC158" i="121"/>
  <c r="W146" i="121"/>
  <c r="AM10" i="121"/>
  <c r="Y10" i="121"/>
  <c r="Z146" i="121"/>
  <c r="AM13" i="121"/>
  <c r="Y13" i="121"/>
  <c r="U152" i="121"/>
  <c r="U166" i="121"/>
  <c r="T164" i="121"/>
  <c r="X152" i="121"/>
  <c r="AB146" i="121"/>
  <c r="AM15" i="121"/>
  <c r="Y15" i="121"/>
  <c r="W152" i="121"/>
  <c r="W166" i="121"/>
  <c r="Y146" i="121"/>
  <c r="AM12" i="121"/>
  <c r="Y12" i="121"/>
  <c r="AC152" i="121"/>
  <c r="U164" i="121"/>
  <c r="Z158" i="121"/>
  <c r="U164" i="120"/>
  <c r="W146" i="120"/>
  <c r="AM10" i="120"/>
  <c r="Y10" i="120"/>
  <c r="AD10" i="120"/>
  <c r="W10" i="120"/>
  <c r="AC164" i="120"/>
  <c r="Z152" i="120"/>
  <c r="Z166" i="120"/>
  <c r="V152" i="120"/>
  <c r="V166" i="120"/>
  <c r="AA152" i="120"/>
  <c r="AC152" i="120"/>
  <c r="AC166" i="120"/>
  <c r="AA146" i="120"/>
  <c r="AM14" i="120"/>
  <c r="Y14" i="120"/>
  <c r="Z158" i="120"/>
  <c r="AC146" i="120"/>
  <c r="AM16" i="120"/>
  <c r="Y16" i="120"/>
  <c r="Y158" i="120"/>
  <c r="AC10" i="119"/>
  <c r="U10" i="119"/>
  <c r="U152" i="119"/>
  <c r="U166" i="119"/>
  <c r="AB146" i="119"/>
  <c r="AM15" i="119"/>
  <c r="Y15" i="119"/>
  <c r="AC164" i="119"/>
  <c r="AC158" i="119"/>
  <c r="X164" i="119"/>
  <c r="X152" i="119"/>
  <c r="Y152" i="119"/>
  <c r="Y158" i="119"/>
  <c r="Y166" i="119"/>
  <c r="Z158" i="119"/>
  <c r="U158" i="119"/>
  <c r="U164" i="119"/>
  <c r="Z152" i="119"/>
  <c r="Z166" i="119"/>
  <c r="W158" i="119"/>
  <c r="Z158" i="118"/>
  <c r="T164" i="118"/>
  <c r="T146" i="118"/>
  <c r="AM7" i="118"/>
  <c r="Y7" i="118"/>
  <c r="Y164" i="118"/>
  <c r="T158" i="118"/>
  <c r="AA146" i="118"/>
  <c r="AM14" i="118"/>
  <c r="Y14" i="118"/>
  <c r="T152" i="118"/>
  <c r="U146" i="118"/>
  <c r="AM8" i="118"/>
  <c r="Y8" i="118"/>
  <c r="Y158" i="118"/>
  <c r="X146" i="118"/>
  <c r="AM11" i="118"/>
  <c r="Y11" i="118"/>
  <c r="AC152" i="118"/>
  <c r="AC166" i="118"/>
  <c r="Y152" i="118"/>
  <c r="Y166" i="118"/>
  <c r="W158" i="118"/>
  <c r="X164" i="118"/>
  <c r="T152" i="117"/>
  <c r="AB164" i="117"/>
  <c r="W146" i="117"/>
  <c r="AM10" i="117"/>
  <c r="Y10" i="117"/>
  <c r="X158" i="117"/>
  <c r="Z146" i="117"/>
  <c r="AM13" i="117"/>
  <c r="Y13" i="117"/>
  <c r="X164" i="117"/>
  <c r="X146" i="117"/>
  <c r="AM11" i="117"/>
  <c r="Y11" i="117"/>
  <c r="Z152" i="117"/>
  <c r="Z166" i="117"/>
  <c r="U158" i="117"/>
  <c r="X152" i="117"/>
  <c r="X166" i="117"/>
  <c r="AB152" i="117"/>
  <c r="AB166" i="117"/>
  <c r="Z158" i="117"/>
  <c r="AA158" i="117"/>
  <c r="V164" i="117"/>
  <c r="AD15" i="116"/>
  <c r="W15" i="116"/>
  <c r="AC15" i="116"/>
  <c r="U15" i="116"/>
  <c r="V146" i="116"/>
  <c r="AM9" i="116"/>
  <c r="Y9" i="116"/>
  <c r="X146" i="116"/>
  <c r="AM11" i="116"/>
  <c r="Y11" i="116"/>
  <c r="AB164" i="116"/>
  <c r="W146" i="116"/>
  <c r="AM10" i="116"/>
  <c r="Y10" i="116"/>
  <c r="W152" i="116"/>
  <c r="W166" i="116"/>
  <c r="X152" i="116"/>
  <c r="X166" i="116"/>
  <c r="T152" i="116"/>
  <c r="Z146" i="116"/>
  <c r="AM13" i="116"/>
  <c r="Y13" i="116"/>
  <c r="W158" i="116"/>
  <c r="Z152" i="116"/>
  <c r="Z166" i="116"/>
  <c r="Y152" i="116"/>
  <c r="Y166" i="116"/>
  <c r="Y158" i="116"/>
  <c r="T152" i="115"/>
  <c r="U158" i="115"/>
  <c r="AC146" i="115"/>
  <c r="AM16" i="115"/>
  <c r="Y16" i="115"/>
  <c r="X152" i="115"/>
  <c r="X166" i="115"/>
  <c r="W158" i="115"/>
  <c r="Y158" i="115"/>
  <c r="V164" i="92"/>
  <c r="AA158" i="92"/>
  <c r="Z152" i="92"/>
  <c r="Z166" i="92"/>
  <c r="W158" i="92"/>
  <c r="V158" i="92"/>
  <c r="V152" i="92"/>
  <c r="U158" i="92"/>
  <c r="AC164" i="92"/>
  <c r="Y32" i="120"/>
  <c r="Y32" i="117"/>
  <c r="T152" i="92"/>
  <c r="T164" i="92"/>
  <c r="T146" i="92"/>
  <c r="AM7" i="92"/>
  <c r="Y7" i="92"/>
  <c r="W141" i="77"/>
  <c r="AA10" i="77"/>
  <c r="Q10" i="77"/>
  <c r="U153" i="77"/>
  <c r="T153" i="77"/>
  <c r="W153" i="77"/>
  <c r="U147" i="77"/>
  <c r="W147" i="77"/>
  <c r="W161" i="77"/>
  <c r="V159" i="77"/>
  <c r="U159" i="77"/>
  <c r="S153" i="77"/>
  <c r="V147" i="77"/>
  <c r="S159" i="77"/>
  <c r="Y32" i="115"/>
  <c r="W159" i="77"/>
  <c r="T141" i="77"/>
  <c r="AA7" i="77"/>
  <c r="Q7" i="77"/>
  <c r="V141" i="77"/>
  <c r="AA9" i="77"/>
  <c r="Q9" i="77"/>
  <c r="S141" i="77"/>
  <c r="AA6" i="77"/>
  <c r="Q6" i="77"/>
  <c r="V161" i="77"/>
  <c r="M9" i="77"/>
  <c r="W166" i="117"/>
  <c r="Y166" i="117"/>
  <c r="AC12" i="117"/>
  <c r="U12" i="117"/>
  <c r="U166" i="117"/>
  <c r="AC8" i="117"/>
  <c r="U8" i="117"/>
  <c r="AC166" i="121"/>
  <c r="AD16" i="121"/>
  <c r="W16" i="121"/>
  <c r="X166" i="121"/>
  <c r="AC11" i="121"/>
  <c r="U11" i="121"/>
  <c r="V166" i="121"/>
  <c r="V166" i="119"/>
  <c r="AD9" i="119"/>
  <c r="W9" i="119"/>
  <c r="AC166" i="117"/>
  <c r="AD16" i="117"/>
  <c r="W16" i="117"/>
  <c r="AA166" i="116"/>
  <c r="AC14" i="116"/>
  <c r="U14" i="116"/>
  <c r="AA166" i="115"/>
  <c r="AD14" i="115"/>
  <c r="W14" i="115"/>
  <c r="U161" i="77"/>
  <c r="O8" i="77"/>
  <c r="U32" i="115"/>
  <c r="U32" i="121"/>
  <c r="W32" i="115"/>
  <c r="W32" i="116"/>
  <c r="O10" i="77"/>
  <c r="M10" i="77"/>
  <c r="O7" i="77"/>
  <c r="M7" i="77"/>
  <c r="Q11" i="77"/>
  <c r="O33" i="77"/>
  <c r="W32" i="120"/>
  <c r="U32" i="120"/>
  <c r="W32" i="119"/>
  <c r="W32" i="117"/>
  <c r="U32" i="117"/>
  <c r="W32" i="121"/>
  <c r="AD13" i="121"/>
  <c r="W13" i="121"/>
  <c r="AA166" i="121"/>
  <c r="AD14" i="121"/>
  <c r="W14" i="121"/>
  <c r="AA166" i="120"/>
  <c r="AD14" i="120"/>
  <c r="W14" i="120"/>
  <c r="AA166" i="119"/>
  <c r="AD14" i="119"/>
  <c r="W14" i="119"/>
  <c r="X166" i="119"/>
  <c r="AC11" i="119"/>
  <c r="U11" i="119"/>
  <c r="AC166" i="119"/>
  <c r="AD16" i="119"/>
  <c r="W16" i="119"/>
  <c r="AC9" i="118"/>
  <c r="U9" i="118"/>
  <c r="AD9" i="118"/>
  <c r="W9" i="118"/>
  <c r="X166" i="118"/>
  <c r="AD11" i="118"/>
  <c r="W11" i="118"/>
  <c r="AD14" i="118"/>
  <c r="W14" i="118"/>
  <c r="AC14" i="118"/>
  <c r="U14" i="118"/>
  <c r="AA166" i="117"/>
  <c r="AD14" i="117"/>
  <c r="W14" i="117"/>
  <c r="V166" i="117"/>
  <c r="AD9" i="117"/>
  <c r="W9" i="117"/>
  <c r="AC166" i="116"/>
  <c r="AD16" i="116"/>
  <c r="W16" i="116"/>
  <c r="V166" i="115"/>
  <c r="AC9" i="115"/>
  <c r="U9" i="115"/>
  <c r="AC166" i="115"/>
  <c r="AD16" i="115"/>
  <c r="W16" i="115"/>
  <c r="Y14" i="115"/>
  <c r="Y17" i="115"/>
  <c r="V38" i="115"/>
  <c r="O6" i="77"/>
  <c r="M6" i="77"/>
  <c r="AC16" i="115"/>
  <c r="U16" i="115"/>
  <c r="AD10" i="115"/>
  <c r="W10" i="115"/>
  <c r="W32" i="92"/>
  <c r="X166" i="92"/>
  <c r="AC11" i="92"/>
  <c r="U11" i="92"/>
  <c r="V166" i="92"/>
  <c r="AC9" i="92"/>
  <c r="U9" i="92"/>
  <c r="AA166" i="92"/>
  <c r="AD14" i="92"/>
  <c r="W14" i="92"/>
  <c r="AC166" i="92"/>
  <c r="AD16" i="92"/>
  <c r="W16" i="92"/>
  <c r="AC12" i="115"/>
  <c r="U12" i="115"/>
  <c r="AC8" i="115"/>
  <c r="U8" i="115"/>
  <c r="AC14" i="115"/>
  <c r="U14" i="115"/>
  <c r="AD13" i="115"/>
  <c r="W13" i="115"/>
  <c r="AC15" i="120"/>
  <c r="U15" i="120"/>
  <c r="AC13" i="118"/>
  <c r="U13" i="118"/>
  <c r="AC8" i="120"/>
  <c r="U8" i="120"/>
  <c r="Y17" i="116"/>
  <c r="V38" i="116"/>
  <c r="AC15" i="118"/>
  <c r="U15" i="118"/>
  <c r="AC10" i="118"/>
  <c r="U10" i="118"/>
  <c r="Y17" i="117"/>
  <c r="V38" i="117"/>
  <c r="Y17" i="121"/>
  <c r="V38" i="121"/>
  <c r="Y17" i="120"/>
  <c r="V38" i="120"/>
  <c r="Y17" i="119"/>
  <c r="V38" i="119"/>
  <c r="Y17" i="118"/>
  <c r="V38" i="118"/>
  <c r="Y17" i="92"/>
  <c r="V38" i="92"/>
  <c r="T166" i="121"/>
  <c r="AC7" i="121"/>
  <c r="U7" i="121"/>
  <c r="T166" i="120"/>
  <c r="T166" i="119"/>
  <c r="AC7" i="119"/>
  <c r="U7" i="119"/>
  <c r="T166" i="118"/>
  <c r="AD7" i="118"/>
  <c r="W7" i="118"/>
  <c r="T166" i="117"/>
  <c r="AC7" i="117"/>
  <c r="U7" i="117"/>
  <c r="T166" i="116"/>
  <c r="AD7" i="116"/>
  <c r="W7" i="116"/>
  <c r="T166" i="115"/>
  <c r="AD7" i="115"/>
  <c r="W7" i="115"/>
  <c r="T166" i="92"/>
  <c r="AD7" i="92"/>
  <c r="W7" i="92"/>
  <c r="AC14" i="119"/>
  <c r="U14" i="119"/>
  <c r="AC15" i="119"/>
  <c r="U15" i="119"/>
  <c r="AC8" i="118"/>
  <c r="U8" i="118"/>
  <c r="AC9" i="116"/>
  <c r="U9" i="116"/>
  <c r="AD15" i="121"/>
  <c r="W15" i="121"/>
  <c r="AD15" i="115"/>
  <c r="W15" i="115"/>
  <c r="AD12" i="121"/>
  <c r="W12" i="121"/>
  <c r="AC12" i="120"/>
  <c r="U12" i="120"/>
  <c r="AC11" i="120"/>
  <c r="U11" i="120"/>
  <c r="AD11" i="120"/>
  <c r="W11" i="120"/>
  <c r="AC8" i="116"/>
  <c r="U8" i="116"/>
  <c r="AC10" i="92"/>
  <c r="U10" i="92"/>
  <c r="AC8" i="92"/>
  <c r="U8" i="92"/>
  <c r="AC15" i="92"/>
  <c r="U15" i="92"/>
  <c r="AD12" i="92"/>
  <c r="W12" i="92"/>
  <c r="AC12" i="92"/>
  <c r="U12" i="92"/>
  <c r="AD11" i="121"/>
  <c r="W11" i="121"/>
  <c r="AD10" i="121"/>
  <c r="W10" i="121"/>
  <c r="AC10" i="121"/>
  <c r="U10" i="121"/>
  <c r="AC8" i="121"/>
  <c r="U8" i="121"/>
  <c r="AD8" i="121"/>
  <c r="W8" i="121"/>
  <c r="AC16" i="121"/>
  <c r="U16" i="121"/>
  <c r="AD13" i="120"/>
  <c r="W13" i="120"/>
  <c r="AC13" i="120"/>
  <c r="U13" i="120"/>
  <c r="AC16" i="120"/>
  <c r="U16" i="120"/>
  <c r="AD16" i="120"/>
  <c r="W16" i="120"/>
  <c r="AD9" i="120"/>
  <c r="W9" i="120"/>
  <c r="AC9" i="120"/>
  <c r="U9" i="120"/>
  <c r="AC12" i="119"/>
  <c r="U12" i="119"/>
  <c r="AD12" i="119"/>
  <c r="W12" i="119"/>
  <c r="AC13" i="119"/>
  <c r="U13" i="119"/>
  <c r="AD13" i="119"/>
  <c r="W13" i="119"/>
  <c r="AC8" i="119"/>
  <c r="U8" i="119"/>
  <c r="AD8" i="119"/>
  <c r="W8" i="119"/>
  <c r="AD16" i="118"/>
  <c r="W16" i="118"/>
  <c r="AC16" i="118"/>
  <c r="U16" i="118"/>
  <c r="AC12" i="118"/>
  <c r="U12" i="118"/>
  <c r="AD12" i="118"/>
  <c r="W12" i="118"/>
  <c r="AD13" i="117"/>
  <c r="W13" i="117"/>
  <c r="AC13" i="117"/>
  <c r="U13" i="117"/>
  <c r="AD11" i="117"/>
  <c r="W11" i="117"/>
  <c r="AC11" i="117"/>
  <c r="U11" i="117"/>
  <c r="AD15" i="117"/>
  <c r="W15" i="117"/>
  <c r="AC15" i="117"/>
  <c r="U15" i="117"/>
  <c r="AD13" i="116"/>
  <c r="W13" i="116"/>
  <c r="AC13" i="116"/>
  <c r="U13" i="116"/>
  <c r="AD11" i="116"/>
  <c r="W11" i="116"/>
  <c r="AC11" i="116"/>
  <c r="U11" i="116"/>
  <c r="AD10" i="116"/>
  <c r="W10" i="116"/>
  <c r="AC10" i="116"/>
  <c r="U10" i="116"/>
  <c r="AD12" i="116"/>
  <c r="W12" i="116"/>
  <c r="AC12" i="116"/>
  <c r="U12" i="116"/>
  <c r="AC11" i="115"/>
  <c r="U11" i="115"/>
  <c r="AD11" i="115"/>
  <c r="W11" i="115"/>
  <c r="AC13" i="92"/>
  <c r="U13" i="92"/>
  <c r="AD13" i="92"/>
  <c r="W13" i="92"/>
  <c r="AD9" i="115"/>
  <c r="W9" i="115"/>
  <c r="W17" i="115"/>
  <c r="V37" i="115"/>
  <c r="O9" i="77"/>
  <c r="O11" i="77"/>
  <c r="O32" i="77"/>
  <c r="AC16" i="119"/>
  <c r="U16" i="119"/>
  <c r="AD12" i="117"/>
  <c r="W12" i="117"/>
  <c r="AD11" i="119"/>
  <c r="W11" i="119"/>
  <c r="AD8" i="117"/>
  <c r="W8" i="117"/>
  <c r="AD10" i="117"/>
  <c r="W10" i="117"/>
  <c r="AC10" i="117"/>
  <c r="U10" i="117"/>
  <c r="AD14" i="116"/>
  <c r="W14" i="116"/>
  <c r="W17" i="116"/>
  <c r="V37" i="116"/>
  <c r="AC14" i="121"/>
  <c r="U14" i="121"/>
  <c r="AC9" i="121"/>
  <c r="U9" i="121"/>
  <c r="AD9" i="121"/>
  <c r="W9" i="121"/>
  <c r="AC14" i="120"/>
  <c r="U14" i="120"/>
  <c r="AC9" i="119"/>
  <c r="U9" i="119"/>
  <c r="AC14" i="117"/>
  <c r="U14" i="117"/>
  <c r="AC16" i="117"/>
  <c r="U16" i="117"/>
  <c r="AC16" i="116"/>
  <c r="U16" i="116"/>
  <c r="M8" i="77"/>
  <c r="M11" i="77"/>
  <c r="O31" i="77"/>
  <c r="W17" i="118"/>
  <c r="V37" i="118"/>
  <c r="AC11" i="118"/>
  <c r="U11" i="118"/>
  <c r="AC9" i="117"/>
  <c r="U9" i="117"/>
  <c r="AD11" i="92"/>
  <c r="W11" i="92"/>
  <c r="AC14" i="92"/>
  <c r="U14" i="92"/>
  <c r="AC16" i="92"/>
  <c r="U16" i="92"/>
  <c r="AD9" i="92"/>
  <c r="W9" i="92"/>
  <c r="AD7" i="117"/>
  <c r="W7" i="117"/>
  <c r="AC7" i="118"/>
  <c r="U7" i="118"/>
  <c r="AD7" i="119"/>
  <c r="W7" i="119"/>
  <c r="AC7" i="115"/>
  <c r="U7" i="115"/>
  <c r="U17" i="115"/>
  <c r="V36" i="115"/>
  <c r="AC7" i="92"/>
  <c r="U7" i="92"/>
  <c r="AD7" i="121"/>
  <c r="W7" i="121"/>
  <c r="AG18" i="78"/>
  <c r="I11" i="78"/>
  <c r="I16" i="78"/>
  <c r="S16" i="78"/>
  <c r="AD7" i="120"/>
  <c r="W7" i="120"/>
  <c r="W17" i="120"/>
  <c r="V37" i="120"/>
  <c r="AC7" i="120"/>
  <c r="U7" i="120"/>
  <c r="AC7" i="116"/>
  <c r="U7" i="116"/>
  <c r="W17" i="119"/>
  <c r="V37" i="119"/>
  <c r="U17" i="119"/>
  <c r="V36" i="119"/>
  <c r="W17" i="117"/>
  <c r="V37" i="117"/>
  <c r="U17" i="116"/>
  <c r="V36" i="116"/>
  <c r="W17" i="121"/>
  <c r="V37" i="121"/>
  <c r="U17" i="121"/>
  <c r="V36" i="121"/>
  <c r="U17" i="120"/>
  <c r="V36" i="120"/>
  <c r="U17" i="117"/>
  <c r="V36" i="117"/>
  <c r="U17" i="118"/>
  <c r="V36" i="118"/>
  <c r="W17" i="92"/>
  <c r="V37" i="92"/>
  <c r="U17" i="92"/>
  <c r="V36" i="92"/>
  <c r="AG20" i="78"/>
  <c r="Y11" i="78"/>
  <c r="AG19" i="78"/>
  <c r="Y10" i="78"/>
  <c r="I17" i="78"/>
  <c r="S17" i="7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複層（G4以上Ｇ8未満）日射取得型                 46:単板＋Low-E　複層（A6以上Ａ12未満）日射遮蔽型
21:Low-E　複層（G4以上Ｇ8未満）日射遮蔽型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7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8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8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9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9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A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A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  <author>012</author>
  </authors>
  <commentList>
    <comment ref="G4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  <comment ref="M4" authorId="2" shapeId="0" xr:uid="{00000000-0006-0000-0B00-000003000000}">
      <text>
        <r>
          <rPr>
            <sz val="9"/>
            <color indexed="81"/>
            <rFont val="ＭＳ Ｐゴシック"/>
            <family val="3"/>
            <charset val="128"/>
          </rPr>
          <t>取得日射量補正係数は簡略計算法にて算出</t>
        </r>
      </text>
    </comment>
    <comment ref="O20" authorId="0" shapeId="0" xr:uid="{00000000-0006-0000-0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あ:枠：木製/戸：断熱積層構造 三層複層(A12以上)
い:枠：木製/戸：断熱積層構造 Low-E 複層(A10以上)
う:枠：木製/戸：断熱積層構造 Low-E 複層(A6以上A10未満)
え:枠：木製/戸：断熱積層構造 複層(A10以上)
お:枠：木製/戸：断熱積層構造 ガラスなし
か:枠：金属製熱遮断構造/戸：高断熱フラッシュ構造 Low-E 複層(G12以上)or「ガラスなし」
き:枠：金属製熱遮断構造、木と金属との複合材料製又は樹脂と金属との複合材料製/戸：断熱フラッシュ構造 Low-E 複層(A10以上)
く:枠：金属製熱遮断構造、木と金属との複合材料製又は樹脂と金属との複合材料製/戸：断熱フラッシュ構造 Low-E 複層(A6以上A10未満)
け:枠：金属製熱遮断構造、木と金属との複合材料製又は樹脂と金属との複合材料製/戸：断熱フラッシュ構造 複層(A10以上)
こ:枠：金属製熱遮断構造、木と金属との複合材料製又は樹脂と金属との複合材料製/戸：断熱フラッシュ構造 ガラスなし
さ:枠：金属製熱遮断構造/戸：フラッシュ構造 Low-E 複層(A10以上)
し:枠：金属製熱遮断構造/戸：フラッシュ構造 複層(A12以上) or「ガラスなし」
す:枠：指定なし/戸：木製 複層(A4以上) or「ガラスなし」
せ:枠：指定なし/戸：フラッシュ構造 複層(A4以上) or「ガラスなし」
そ:枠：指定なし/戸：ハニカムフラッシュ構造 複層(A4以上) or「ガラスなし」</t>
        </r>
      </text>
    </comment>
    <comment ref="S27" authorId="0" shapeId="0" xr:uid="{00000000-0006-0000-0B00-000005000000}">
      <text>
        <r>
          <rPr>
            <sz val="9"/>
            <color indexed="81"/>
            <rFont val="ＭＳ Ｐゴシック"/>
            <family val="3"/>
            <charset val="128"/>
          </rPr>
          <t>日射の当たらない基礎等の場合は、チェックを入れる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小室 達也</author>
    <author>mukai</author>
  </authors>
  <commentList>
    <comment ref="G4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あ:木製建具又は樹脂製建具
い:木と金属の複合性材料建具又は樹脂と金属の複合性材料建具
う:金属製熱遮断構造建具
え:金属製建具</t>
        </r>
      </text>
    </comment>
    <comment ref="I4" authorId="1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1:ダブルLow-E　三層複層（Ｇ7以上×2）日射取得型　　　　　　27:単板
2:ダブルLow-E　三層複層（Ｇ7以上×2）日射遮蔽型　　　　　　28:熱線反射1種
3:Low-E　三層複層（Ｇ6以上×2）日射取得型　　　　　　　　　　29:熱線反射2種
4:Low-E　三層複層（Ｇ6以上×2）日射遮蔽型　　　　　　　　　　30:熱線反射3種
5:Low-E　三層複層（Ａ9以上×2）日射取得型　　　　　　　　　　31:熱線吸収板2種　　　　　　　　　　
6:Low-E　三層複層（Ａ9以上×2）日射遮蔽型　　　　　　　　　　32:Low-E　複層（G16以上）日射取得型
7:Low-E　複層（G12以上）日射取得型　　　　　　　　　　　　　   33:Low-E　複層（G16以上）日射遮蔽型 
8:Low-E　複層（G12以上）日射遮蔽型                          34:Low-E　複層（G8以上Ｇ16未満）日射取得型 
9:Low-E　複層（Ａ10以上）日射取得型                        　35:Low-E　複層（G8以上Ｇ16未満）日射遮蔽型 
10:Low-E　複層（Ａ10以上）日射遮蔽型                      　 36:Low-E　複層（G8以上）日射取得型
11:Low-E　複層（G8以上Ｇ12未満）日射取得型                37:Low-E　複層（G8以上）日射遮蔽型     
12:Low-E　複層（G8以上Ｇ12未満）日射遮蔽型                38:Low-E　複層（Ａ6以上Ａ10未満）日射取得型     
13:遮熱複層（Ａ10以上）熱線反射1種                           39:Low-E　複層（Ａ6以上Ａ10未満）日射遮蔽型
14:遮熱複層（Ａ10以上）熱線反射2種                           40:単板×2（Ａ12以上）
15:遮熱複層（Ａ10以上）熱線反射3種                           41:単板×2（Ａ6以上Ａ12未満）
16:遮熱複層（Ａ10以上）熱線吸収板2種                         42:単板＋Low-E　複層（A12以上）日射取得型
17:複層（Ａ10以上）                                             　43:単板＋Low-E　複層（A12以上）日射遮蔽型
18:Low-E　複層（Ａ5以上Ａ10未満）日射取得型                44:単板＋複層（A12以上）
19:Low-E　複層（Ａ5以上Ａ10未満）日射遮蔽型                45:単板＋Low-E　複層（A6以上Ａ12未満）日射取得型
20:Low-E　複層（G4以上Ｇ7未満）日射取得型                 46:単板＋Low-E　複層（A6以上Ａ12未満）日射遮蔽型
21:Low-E　複層（G4以上Ｇ7未満）日射遮蔽型                 47:単板＋単板 
22:遮熱複層（Ａ6以上Ａ10未満）熱線反射1種                       
23:遮熱複層（Ａ6以上Ａ10未満）熱線反射2種                       
24:遮熱複層（Ａ6以上Ａ10未満）熱線反射3種                       
25:遮熱複層（Ａ6以上Ａ10未満）熱線吸収板2種                     
26:複層（Ａ6以上Ａ10未満）</t>
        </r>
      </text>
    </comment>
  </commentList>
</comments>
</file>

<file path=xl/sharedStrings.xml><?xml version="1.0" encoding="utf-8"?>
<sst xmlns="http://schemas.openxmlformats.org/spreadsheetml/2006/main" count="5897" uniqueCount="881">
  <si>
    <t>仕様番号</t>
    <rPh sb="0" eb="2">
      <t>シヨウ</t>
    </rPh>
    <rPh sb="2" eb="4">
      <t>バンゴウ</t>
    </rPh>
    <phoneticPr fontId="2"/>
  </si>
  <si>
    <t>外壁</t>
    <rPh sb="0" eb="2">
      <t>ガイヘキ</t>
    </rPh>
    <phoneticPr fontId="2"/>
  </si>
  <si>
    <t>階</t>
    <rPh sb="0" eb="1">
      <t>カイ</t>
    </rPh>
    <phoneticPr fontId="2"/>
  </si>
  <si>
    <t>ｙ2</t>
    <phoneticPr fontId="2"/>
  </si>
  <si>
    <t>冷房期</t>
    <rPh sb="0" eb="2">
      <t>レイボウ</t>
    </rPh>
    <rPh sb="2" eb="3">
      <t>キ</t>
    </rPh>
    <phoneticPr fontId="2"/>
  </si>
  <si>
    <t>1）窓の入力</t>
    <rPh sb="2" eb="3">
      <t>マド</t>
    </rPh>
    <rPh sb="4" eb="6">
      <t>ニュウリョク</t>
    </rPh>
    <phoneticPr fontId="2"/>
  </si>
  <si>
    <t>窓番号</t>
    <rPh sb="0" eb="1">
      <t>マド</t>
    </rPh>
    <rPh sb="1" eb="3">
      <t>バンゴウ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</si>
  <si>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</si>
  <si>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高さ</t>
    <rPh sb="0" eb="1">
      <t>タカ</t>
    </rPh>
    <phoneticPr fontId="2"/>
  </si>
  <si>
    <t>幅</t>
    <rPh sb="0" eb="1">
      <t>ハバ</t>
    </rPh>
    <phoneticPr fontId="2"/>
  </si>
  <si>
    <t>付属部材
の有無</t>
    <rPh sb="0" eb="2">
      <t>フゾク</t>
    </rPh>
    <rPh sb="2" eb="4">
      <t>ブザイ</t>
    </rPh>
    <rPh sb="6" eb="8">
      <t>ウム</t>
    </rPh>
    <phoneticPr fontId="2"/>
  </si>
  <si>
    <t>Z</t>
    <phoneticPr fontId="2"/>
  </si>
  <si>
    <t>ｙ1</t>
    <phoneticPr fontId="2"/>
  </si>
  <si>
    <t>熱損失</t>
    <rPh sb="0" eb="1">
      <t>ネツ</t>
    </rPh>
    <rPh sb="1" eb="3">
      <t>ソンシツ</t>
    </rPh>
    <phoneticPr fontId="2"/>
  </si>
  <si>
    <t>取得日射量補正係数</t>
    <rPh sb="0" eb="2">
      <t>シュトク</t>
    </rPh>
    <rPh sb="2" eb="4">
      <t>ニッシャ</t>
    </rPh>
    <rPh sb="4" eb="5">
      <t>リョウ</t>
    </rPh>
    <rPh sb="5" eb="7">
      <t>ホセイ</t>
    </rPh>
    <rPh sb="7" eb="9">
      <t>ケイスウ</t>
    </rPh>
    <phoneticPr fontId="2"/>
  </si>
  <si>
    <t>暖房期</t>
    <rPh sb="0" eb="2">
      <t>ダンボウ</t>
    </rPh>
    <rPh sb="2" eb="3">
      <t>キ</t>
    </rPh>
    <phoneticPr fontId="2"/>
  </si>
  <si>
    <t>㎡）</t>
    <phoneticPr fontId="2"/>
  </si>
  <si>
    <t>　総熱損失</t>
    <rPh sb="1" eb="2">
      <t>ソウ</t>
    </rPh>
    <rPh sb="2" eb="3">
      <t>ネツ</t>
    </rPh>
    <rPh sb="3" eb="5">
      <t>ソンシツ</t>
    </rPh>
    <phoneticPr fontId="2"/>
  </si>
  <si>
    <t>W/K</t>
    <phoneticPr fontId="2"/>
  </si>
  <si>
    <t>ドア</t>
    <phoneticPr fontId="2"/>
  </si>
  <si>
    <t>（窓</t>
    <rPh sb="1" eb="2">
      <t>マド</t>
    </rPh>
    <phoneticPr fontId="2"/>
  </si>
  <si>
    <t>㎡</t>
    <phoneticPr fontId="2"/>
  </si>
  <si>
    <t>㎡、</t>
    <phoneticPr fontId="2"/>
  </si>
  <si>
    <t>1）基本情報の入力</t>
    <rPh sb="2" eb="4">
      <t>キホン</t>
    </rPh>
    <rPh sb="4" eb="6">
      <t>ジョウホウ</t>
    </rPh>
    <rPh sb="7" eb="9">
      <t>ニュウリョク</t>
    </rPh>
    <phoneticPr fontId="2"/>
  </si>
  <si>
    <t>　住宅の名称</t>
    <rPh sb="1" eb="3">
      <t>ジュウタク</t>
    </rPh>
    <rPh sb="4" eb="6">
      <t>メイショウ</t>
    </rPh>
    <phoneticPr fontId="2"/>
  </si>
  <si>
    <t>　住宅の所在地</t>
    <rPh sb="1" eb="3">
      <t>ジュウタク</t>
    </rPh>
    <rPh sb="4" eb="7">
      <t>ショザイチ</t>
    </rPh>
    <phoneticPr fontId="2"/>
  </si>
  <si>
    <t>　住宅の規模</t>
    <rPh sb="1" eb="3">
      <t>ジュウタク</t>
    </rPh>
    <rPh sb="4" eb="6">
      <t>キボ</t>
    </rPh>
    <phoneticPr fontId="2"/>
  </si>
  <si>
    <t>（地域区分）</t>
    <rPh sb="1" eb="3">
      <t>チイキ</t>
    </rPh>
    <rPh sb="3" eb="5">
      <t>クブン</t>
    </rPh>
    <phoneticPr fontId="2"/>
  </si>
  <si>
    <t>地上</t>
    <rPh sb="0" eb="2">
      <t>チジョウ</t>
    </rPh>
    <phoneticPr fontId="2"/>
  </si>
  <si>
    <t>、地下</t>
    <rPh sb="1" eb="3">
      <t>チカ</t>
    </rPh>
    <phoneticPr fontId="2"/>
  </si>
  <si>
    <t>2）計算結果</t>
    <rPh sb="2" eb="4">
      <t>ケイサン</t>
    </rPh>
    <rPh sb="4" eb="6">
      <t>ケッカ</t>
    </rPh>
    <phoneticPr fontId="2"/>
  </si>
  <si>
    <t>　注１：本計算シートに入力している面積は、別途平面図や立面図等で計算過程を明示しています。</t>
    <rPh sb="1" eb="2">
      <t>チュウ</t>
    </rPh>
    <rPh sb="4" eb="5">
      <t>ホン</t>
    </rPh>
    <rPh sb="5" eb="7">
      <t>ケイサン</t>
    </rPh>
    <rPh sb="11" eb="13">
      <t>ニュウリョク</t>
    </rPh>
    <rPh sb="17" eb="19">
      <t>メンセキ</t>
    </rPh>
    <rPh sb="21" eb="23">
      <t>ベット</t>
    </rPh>
    <rPh sb="23" eb="26">
      <t>ヘイメンズ</t>
    </rPh>
    <rPh sb="27" eb="30">
      <t>リツメンズ</t>
    </rPh>
    <rPh sb="30" eb="31">
      <t>トウ</t>
    </rPh>
    <rPh sb="32" eb="34">
      <t>ケイサン</t>
    </rPh>
    <rPh sb="34" eb="36">
      <t>カテイ</t>
    </rPh>
    <rPh sb="37" eb="39">
      <t>メイジ</t>
    </rPh>
    <phoneticPr fontId="2"/>
  </si>
  <si>
    <t>W/（㎡K）</t>
    <phoneticPr fontId="2"/>
  </si>
  <si>
    <t>方位係数</t>
    <rPh sb="0" eb="2">
      <t>ホウイ</t>
    </rPh>
    <rPh sb="2" eb="4">
      <t>ケイスウ</t>
    </rPh>
    <phoneticPr fontId="2"/>
  </si>
  <si>
    <t>部位番号</t>
    <rPh sb="0" eb="2">
      <t>ブイ</t>
    </rPh>
    <rPh sb="2" eb="4">
      <t>バンゴウ</t>
    </rPh>
    <phoneticPr fontId="2"/>
  </si>
  <si>
    <t>部位名</t>
    <rPh sb="0" eb="2">
      <t>ブイ</t>
    </rPh>
    <rPh sb="2" eb="3">
      <t>メイ</t>
    </rPh>
    <phoneticPr fontId="2"/>
  </si>
  <si>
    <t>断熱材
熱抵抗
Ｒ１</t>
    <rPh sb="0" eb="3">
      <t>ダンネツザイ</t>
    </rPh>
    <rPh sb="4" eb="5">
      <t>ネツ</t>
    </rPh>
    <rPh sb="5" eb="7">
      <t>テイコウ</t>
    </rPh>
    <phoneticPr fontId="2"/>
  </si>
  <si>
    <t>断熱材
熱抵抗
Ｒ２</t>
    <rPh sb="0" eb="3">
      <t>ダンネツザイ</t>
    </rPh>
    <rPh sb="4" eb="5">
      <t>ネツ</t>
    </rPh>
    <rPh sb="5" eb="7">
      <t>テイコウ</t>
    </rPh>
    <phoneticPr fontId="2"/>
  </si>
  <si>
    <t>断熱材
熱抵抗
Ｒ３</t>
    <rPh sb="0" eb="3">
      <t>ダンネツザイ</t>
    </rPh>
    <rPh sb="4" eb="5">
      <t>ネツ</t>
    </rPh>
    <rPh sb="5" eb="7">
      <t>テイコウ</t>
    </rPh>
    <phoneticPr fontId="2"/>
  </si>
  <si>
    <t>断熱材
熱抵抗
Ｒ４</t>
    <rPh sb="0" eb="3">
      <t>ダンネツザイ</t>
    </rPh>
    <rPh sb="4" eb="5">
      <t>ネツ</t>
    </rPh>
    <rPh sb="5" eb="7">
      <t>テイコウ</t>
    </rPh>
    <phoneticPr fontId="2"/>
  </si>
  <si>
    <t>基礎高
Ｈ１</t>
    <rPh sb="0" eb="2">
      <t>キソ</t>
    </rPh>
    <rPh sb="2" eb="3">
      <t>タカ</t>
    </rPh>
    <phoneticPr fontId="2"/>
  </si>
  <si>
    <t>底盤高
Ｈ２</t>
    <rPh sb="0" eb="1">
      <t>テイ</t>
    </rPh>
    <rPh sb="1" eb="2">
      <t>バン</t>
    </rPh>
    <rPh sb="2" eb="3">
      <t>タカ</t>
    </rPh>
    <phoneticPr fontId="2"/>
  </si>
  <si>
    <t>断熱材
根入れ
Ｗ１</t>
    <rPh sb="0" eb="3">
      <t>ダンネツザイ</t>
    </rPh>
    <rPh sb="4" eb="5">
      <t>ネ</t>
    </rPh>
    <rPh sb="5" eb="6">
      <t>イ</t>
    </rPh>
    <phoneticPr fontId="2"/>
  </si>
  <si>
    <t>断熱材
折返し
Ｗ２</t>
    <rPh sb="0" eb="3">
      <t>ダンネツザイ</t>
    </rPh>
    <rPh sb="4" eb="6">
      <t>オリカエ</t>
    </rPh>
    <phoneticPr fontId="2"/>
  </si>
  <si>
    <t>断熱材
折返し
Ｗ３</t>
    <rPh sb="0" eb="3">
      <t>ダンネツザイ</t>
    </rPh>
    <rPh sb="4" eb="6">
      <t>オリカエ</t>
    </rPh>
    <phoneticPr fontId="2"/>
  </si>
  <si>
    <t>適　用
計算式
番　号</t>
    <rPh sb="0" eb="1">
      <t>テキ</t>
    </rPh>
    <rPh sb="2" eb="3">
      <t>ヨウ</t>
    </rPh>
    <rPh sb="4" eb="6">
      <t>ケイサン</t>
    </rPh>
    <rPh sb="6" eb="7">
      <t>シキ</t>
    </rPh>
    <rPh sb="8" eb="9">
      <t>バン</t>
    </rPh>
    <rPh sb="10" eb="11">
      <t>ゴウ</t>
    </rPh>
    <phoneticPr fontId="2"/>
  </si>
  <si>
    <t>　注１：上記各部の寸法は下図の寸法等（長さｍ、熱抵抗㎡K/W）を入力して下さい。</t>
    <rPh sb="1" eb="2">
      <t>チュウ</t>
    </rPh>
    <rPh sb="4" eb="6">
      <t>ジョウキ</t>
    </rPh>
    <rPh sb="6" eb="8">
      <t>カクブ</t>
    </rPh>
    <rPh sb="9" eb="11">
      <t>スンポウ</t>
    </rPh>
    <rPh sb="12" eb="14">
      <t>カズ</t>
    </rPh>
    <rPh sb="15" eb="17">
      <t>スンポウ</t>
    </rPh>
    <rPh sb="17" eb="18">
      <t>トウ</t>
    </rPh>
    <rPh sb="19" eb="20">
      <t>ナガ</t>
    </rPh>
    <rPh sb="23" eb="24">
      <t>ネツ</t>
    </rPh>
    <rPh sb="24" eb="26">
      <t>テイコウ</t>
    </rPh>
    <rPh sb="32" eb="34">
      <t>ニュウリョク</t>
    </rPh>
    <rPh sb="36" eb="37">
      <t>クダ</t>
    </rPh>
    <phoneticPr fontId="2"/>
  </si>
  <si>
    <t>基礎等
外周長
Ｌ</t>
    <rPh sb="0" eb="2">
      <t>キソ</t>
    </rPh>
    <rPh sb="2" eb="3">
      <t>トウ</t>
    </rPh>
    <rPh sb="4" eb="6">
      <t>ガイシュウ</t>
    </rPh>
    <rPh sb="6" eb="7">
      <t>チョウ</t>
    </rPh>
    <phoneticPr fontId="2"/>
  </si>
  <si>
    <t>温度差
係　数</t>
    <rPh sb="0" eb="3">
      <t>オンドサ</t>
    </rPh>
    <rPh sb="4" eb="5">
      <t>カカ</t>
    </rPh>
    <rPh sb="6" eb="7">
      <t>スウ</t>
    </rPh>
    <phoneticPr fontId="2"/>
  </si>
  <si>
    <t>　注４：内訳計算シートＡは、住宅の外壁の面する方位別のシートに入力してください。</t>
    <rPh sb="1" eb="2">
      <t>チュウ</t>
    </rPh>
    <rPh sb="4" eb="6">
      <t>ウチワケ</t>
    </rPh>
    <rPh sb="6" eb="8">
      <t>ケイサン</t>
    </rPh>
    <rPh sb="14" eb="16">
      <t>ジュウタク</t>
    </rPh>
    <rPh sb="17" eb="19">
      <t>ガイヘキ</t>
    </rPh>
    <rPh sb="20" eb="21">
      <t>メン</t>
    </rPh>
    <rPh sb="23" eb="25">
      <t>ホウイ</t>
    </rPh>
    <rPh sb="25" eb="26">
      <t>ベツ</t>
    </rPh>
    <rPh sb="31" eb="33">
      <t>ニュウリョク</t>
    </rPh>
    <phoneticPr fontId="2"/>
  </si>
  <si>
    <r>
      <t>内訳計算シートＣ　　</t>
    </r>
    <r>
      <rPr>
        <b/>
        <sz val="14"/>
        <rFont val="HG丸ｺﾞｼｯｸM-PRO"/>
        <family val="3"/>
        <charset val="128"/>
      </rPr>
      <t>＜基礎等＞</t>
    </r>
    <r>
      <rPr>
        <sz val="12"/>
        <rFont val="HG丸ｺﾞｼｯｸM-PRO"/>
        <family val="3"/>
        <charset val="128"/>
      </rPr>
      <t xml:space="preserve"> の熱損失量（基礎断熱及び土間床等の部分）</t>
    </r>
    <rPh sb="0" eb="2">
      <t>ウチワケ</t>
    </rPh>
    <rPh sb="2" eb="4">
      <t>ケイサン</t>
    </rPh>
    <rPh sb="11" eb="14">
      <t>キソトウ</t>
    </rPh>
    <rPh sb="17" eb="18">
      <t>ネツ</t>
    </rPh>
    <rPh sb="18" eb="20">
      <t>ソンシツ</t>
    </rPh>
    <rPh sb="20" eb="21">
      <t>リョウ</t>
    </rPh>
    <rPh sb="22" eb="24">
      <t>キソ</t>
    </rPh>
    <rPh sb="24" eb="26">
      <t>ダンネツ</t>
    </rPh>
    <rPh sb="26" eb="27">
      <t>オヨ</t>
    </rPh>
    <rPh sb="28" eb="30">
      <t>ドマ</t>
    </rPh>
    <rPh sb="30" eb="31">
      <t>ユカ</t>
    </rPh>
    <rPh sb="31" eb="32">
      <t>トウ</t>
    </rPh>
    <rPh sb="33" eb="35">
      <t>ブブン</t>
    </rPh>
    <phoneticPr fontId="2"/>
  </si>
  <si>
    <t>外壁
面積</t>
    <rPh sb="0" eb="2">
      <t>ガイヘキ</t>
    </rPh>
    <rPh sb="3" eb="5">
      <t>メンセキ</t>
    </rPh>
    <phoneticPr fontId="2"/>
  </si>
  <si>
    <t>計算対象
外壁面積</t>
    <rPh sb="0" eb="2">
      <t>ケイサン</t>
    </rPh>
    <rPh sb="2" eb="4">
      <t>タイショウ</t>
    </rPh>
    <rPh sb="5" eb="7">
      <t>ガイヘキ</t>
    </rPh>
    <rPh sb="7" eb="9">
      <t>メンセキ</t>
    </rPh>
    <phoneticPr fontId="2"/>
  </si>
  <si>
    <t>1）天窓等の入力</t>
    <rPh sb="2" eb="3">
      <t>テン</t>
    </rPh>
    <rPh sb="3" eb="4">
      <t>マド</t>
    </rPh>
    <rPh sb="4" eb="5">
      <t>トウ</t>
    </rPh>
    <rPh sb="6" eb="8">
      <t>ニュウリョク</t>
    </rPh>
    <phoneticPr fontId="2"/>
  </si>
  <si>
    <t>　外皮等面積（内訳）</t>
    <rPh sb="1" eb="3">
      <t>ガイヒ</t>
    </rPh>
    <rPh sb="3" eb="4">
      <t>トウ</t>
    </rPh>
    <rPh sb="4" eb="6">
      <t>メンセキ</t>
    </rPh>
    <rPh sb="7" eb="9">
      <t>ウチワケ</t>
    </rPh>
    <phoneticPr fontId="2"/>
  </si>
  <si>
    <t>2）屋根・天井・外気等に接する床（以下「屋根等」という。）の入力</t>
    <rPh sb="2" eb="4">
      <t>ヤネ</t>
    </rPh>
    <rPh sb="5" eb="7">
      <t>テンジョウ</t>
    </rPh>
    <rPh sb="8" eb="11">
      <t>ガイキトウ</t>
    </rPh>
    <rPh sb="17" eb="19">
      <t>イカ</t>
    </rPh>
    <rPh sb="20" eb="23">
      <t>ヤネトウ</t>
    </rPh>
    <rPh sb="30" eb="32">
      <t>ニュウリョク</t>
    </rPh>
    <phoneticPr fontId="2"/>
  </si>
  <si>
    <t>屋根等
面積</t>
    <rPh sb="0" eb="2">
      <t>ヤネ</t>
    </rPh>
    <rPh sb="2" eb="3">
      <t>トウ</t>
    </rPh>
    <rPh sb="4" eb="6">
      <t>メンセキ</t>
    </rPh>
    <phoneticPr fontId="2"/>
  </si>
  <si>
    <t>面積</t>
    <rPh sb="0" eb="2">
      <t>メンセキ</t>
    </rPh>
    <phoneticPr fontId="2"/>
  </si>
  <si>
    <t>屋根等他</t>
    <rPh sb="2" eb="3">
      <t>トウ</t>
    </rPh>
    <rPh sb="3" eb="4">
      <t>ホカ</t>
    </rPh>
    <phoneticPr fontId="2"/>
  </si>
  <si>
    <t>天窓</t>
    <rPh sb="0" eb="1">
      <t>テン</t>
    </rPh>
    <rPh sb="1" eb="2">
      <t>マド</t>
    </rPh>
    <phoneticPr fontId="2"/>
  </si>
  <si>
    <t>屋根等</t>
    <rPh sb="0" eb="2">
      <t>ヤネ</t>
    </rPh>
    <rPh sb="2" eb="3">
      <t>トウ</t>
    </rPh>
    <phoneticPr fontId="2"/>
  </si>
  <si>
    <t xml:space="preserve">住宅の外皮平均熱貫流率及び外皮平均日射熱取得量（冷房期・暖房期）計算書 </t>
    <rPh sb="0" eb="2">
      <t>ジュウタク</t>
    </rPh>
    <rPh sb="5" eb="7">
      <t>ヘイキン</t>
    </rPh>
    <rPh sb="8" eb="10">
      <t>カンリュウ</t>
    </rPh>
    <rPh sb="10" eb="11">
      <t>リツ</t>
    </rPh>
    <rPh sb="11" eb="12">
      <t>オヨ</t>
    </rPh>
    <rPh sb="13" eb="15">
      <t>ガイヒ</t>
    </rPh>
    <rPh sb="15" eb="17">
      <t>ヘイキン</t>
    </rPh>
    <rPh sb="17" eb="19">
      <t>ニッシャ</t>
    </rPh>
    <rPh sb="19" eb="20">
      <t>ネツ</t>
    </rPh>
    <rPh sb="20" eb="22">
      <t>シュトク</t>
    </rPh>
    <rPh sb="22" eb="23">
      <t>リョウ</t>
    </rPh>
    <rPh sb="24" eb="26">
      <t>レイボウ</t>
    </rPh>
    <rPh sb="26" eb="27">
      <t>キ</t>
    </rPh>
    <rPh sb="28" eb="30">
      <t>ダンボウ</t>
    </rPh>
    <rPh sb="30" eb="31">
      <t>キ</t>
    </rPh>
    <rPh sb="32" eb="35">
      <t>ケイサンショ</t>
    </rPh>
    <phoneticPr fontId="2"/>
  </si>
  <si>
    <t>土間床等面積合計</t>
    <rPh sb="0" eb="2">
      <t>ドマ</t>
    </rPh>
    <rPh sb="2" eb="3">
      <t>ユカ</t>
    </rPh>
    <rPh sb="3" eb="4">
      <t>トウ</t>
    </rPh>
    <rPh sb="4" eb="6">
      <t>メンセキ</t>
    </rPh>
    <rPh sb="6" eb="8">
      <t>ゴウケイ</t>
    </rPh>
    <phoneticPr fontId="2"/>
  </si>
  <si>
    <t>冷房期
日射熱
取得量</t>
    <rPh sb="0" eb="2">
      <t>レイボウ</t>
    </rPh>
    <rPh sb="2" eb="3">
      <t>キ</t>
    </rPh>
    <rPh sb="4" eb="6">
      <t>ニッシャ</t>
    </rPh>
    <rPh sb="6" eb="7">
      <t>ネツ</t>
    </rPh>
    <rPh sb="8" eb="10">
      <t>シュトク</t>
    </rPh>
    <rPh sb="10" eb="11">
      <t>リョウ</t>
    </rPh>
    <phoneticPr fontId="2"/>
  </si>
  <si>
    <t>暖房期
日射熱
取得量</t>
    <rPh sb="0" eb="2">
      <t>ダンボウ</t>
    </rPh>
    <rPh sb="2" eb="3">
      <t>キ</t>
    </rPh>
    <phoneticPr fontId="2"/>
  </si>
  <si>
    <t>冷房期
日射熱
取得量</t>
    <rPh sb="0" eb="2">
      <t>レイボウ</t>
    </rPh>
    <rPh sb="2" eb="3">
      <t>キ</t>
    </rPh>
    <phoneticPr fontId="2"/>
  </si>
  <si>
    <t>ﾃﾞﾌｫﾙﾄ
値使用</t>
    <rPh sb="7" eb="8">
      <t>アタイ</t>
    </rPh>
    <rPh sb="8" eb="10">
      <t>シヨウ</t>
    </rPh>
    <phoneticPr fontId="2"/>
  </si>
  <si>
    <t>庇による補正計算</t>
    <rPh sb="0" eb="1">
      <t>ヒサシ</t>
    </rPh>
    <rPh sb="4" eb="6">
      <t>ホセイ</t>
    </rPh>
    <rPh sb="6" eb="8">
      <t>ケイサン</t>
    </rPh>
    <phoneticPr fontId="2"/>
  </si>
  <si>
    <t>取得日射量補正係数の算出</t>
    <rPh sb="0" eb="2">
      <t>シュトク</t>
    </rPh>
    <rPh sb="2" eb="4">
      <t>ニッシャ</t>
    </rPh>
    <rPh sb="4" eb="5">
      <t>リョウ</t>
    </rPh>
    <rPh sb="5" eb="7">
      <t>ホセイ</t>
    </rPh>
    <rPh sb="7" eb="9">
      <t>ケイスウ</t>
    </rPh>
    <rPh sb="10" eb="12">
      <t>サンシュツ</t>
    </rPh>
    <phoneticPr fontId="2"/>
  </si>
  <si>
    <t>　冷房期総日射熱取得量</t>
    <rPh sb="1" eb="3">
      <t>レイボウ</t>
    </rPh>
    <rPh sb="3" eb="4">
      <t>キ</t>
    </rPh>
    <rPh sb="4" eb="5">
      <t>ソウ</t>
    </rPh>
    <rPh sb="5" eb="7">
      <t>ニッシャ</t>
    </rPh>
    <rPh sb="7" eb="8">
      <t>ネツ</t>
    </rPh>
    <rPh sb="8" eb="10">
      <t>シュトク</t>
    </rPh>
    <rPh sb="10" eb="11">
      <t>リョウ</t>
    </rPh>
    <phoneticPr fontId="2"/>
  </si>
  <si>
    <t>　暖房期総日射熱取得量</t>
    <rPh sb="1" eb="3">
      <t>ダンボウ</t>
    </rPh>
    <rPh sb="3" eb="4">
      <t>キ</t>
    </rPh>
    <rPh sb="4" eb="5">
      <t>ソウ</t>
    </rPh>
    <rPh sb="5" eb="7">
      <t>ニッシャ</t>
    </rPh>
    <rPh sb="7" eb="8">
      <t>ネツ</t>
    </rPh>
    <rPh sb="8" eb="10">
      <t>シュトク</t>
    </rPh>
    <rPh sb="10" eb="11">
      <t>リョウ</t>
    </rPh>
    <phoneticPr fontId="2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</si>
  <si>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2"/>
  </si>
  <si>
    <t>取得日射量補正係数(FALSEの場合)</t>
    <rPh sb="0" eb="2">
      <t>シュトク</t>
    </rPh>
    <rPh sb="2" eb="4">
      <t>ニッシャ</t>
    </rPh>
    <rPh sb="4" eb="5">
      <t>リョウ</t>
    </rPh>
    <rPh sb="5" eb="7">
      <t>ホセイ</t>
    </rPh>
    <rPh sb="7" eb="9">
      <t>ケイスウ</t>
    </rPh>
    <rPh sb="16" eb="18">
      <t>バアイ</t>
    </rPh>
    <phoneticPr fontId="2"/>
  </si>
  <si>
    <t>北面</t>
    <rPh sb="0" eb="1">
      <t>キタ</t>
    </rPh>
    <rPh sb="1" eb="2">
      <t>メン</t>
    </rPh>
    <phoneticPr fontId="2"/>
  </si>
  <si>
    <t>H1≦0.4</t>
    <phoneticPr fontId="2"/>
  </si>
  <si>
    <t>　注５：各シートの</t>
    <rPh sb="1" eb="2">
      <t>チュウ</t>
    </rPh>
    <rPh sb="4" eb="5">
      <t>カク</t>
    </rPh>
    <phoneticPr fontId="2"/>
  </si>
  <si>
    <t xml:space="preserve"> 部分に入力するか、あるいはドロップボックスから選択してください。</t>
    <rPh sb="1" eb="3">
      <t>ブブン</t>
    </rPh>
    <rPh sb="4" eb="6">
      <t>ニュウリョク</t>
    </rPh>
    <rPh sb="24" eb="26">
      <t>センタク</t>
    </rPh>
    <phoneticPr fontId="2"/>
  </si>
  <si>
    <t>黄色</t>
    <rPh sb="0" eb="2">
      <t>キイロ</t>
    </rPh>
    <phoneticPr fontId="2"/>
  </si>
  <si>
    <t>⊿R</t>
  </si>
  <si>
    <t>⊿R</t>
    <phoneticPr fontId="2"/>
  </si>
  <si>
    <t>Ui</t>
  </si>
  <si>
    <t>Ui</t>
    <phoneticPr fontId="2"/>
  </si>
  <si>
    <t>補正熱貫流率</t>
  </si>
  <si>
    <t>補正熱貫流率</t>
    <rPh sb="0" eb="2">
      <t>ホセイ</t>
    </rPh>
    <rPh sb="2" eb="3">
      <t>ネツ</t>
    </rPh>
    <rPh sb="3" eb="5">
      <t>カンリュウ</t>
    </rPh>
    <rPh sb="5" eb="6">
      <t>リツ</t>
    </rPh>
    <phoneticPr fontId="2"/>
  </si>
  <si>
    <t>基礎等熱損失合計</t>
    <rPh sb="0" eb="2">
      <t>キソ</t>
    </rPh>
    <rPh sb="2" eb="3">
      <t>トウ</t>
    </rPh>
    <rPh sb="3" eb="4">
      <t>ネツ</t>
    </rPh>
    <rPh sb="4" eb="6">
      <t>ソンシツ</t>
    </rPh>
    <rPh sb="6" eb="8">
      <t>ゴウケイ</t>
    </rPh>
    <phoneticPr fontId="2"/>
  </si>
  <si>
    <t>寸法（ｍ）</t>
    <rPh sb="0" eb="2">
      <t>スンポウ</t>
    </rPh>
    <phoneticPr fontId="2"/>
  </si>
  <si>
    <t>温度差係数</t>
    <rPh sb="0" eb="3">
      <t>オンドサ</t>
    </rPh>
    <rPh sb="3" eb="5">
      <t>ケイスウ</t>
    </rPh>
    <phoneticPr fontId="2"/>
  </si>
  <si>
    <t>　注６：各シートに入力する寸法は、メートル単位で入力して下さい。</t>
    <rPh sb="1" eb="2">
      <t>チュウ</t>
    </rPh>
    <rPh sb="4" eb="5">
      <t>カク</t>
    </rPh>
    <rPh sb="9" eb="11">
      <t>ニュウリョク</t>
    </rPh>
    <rPh sb="13" eb="15">
      <t>スンポウ</t>
    </rPh>
    <rPh sb="21" eb="23">
      <t>タンイ</t>
    </rPh>
    <rPh sb="24" eb="26">
      <t>ニュウリョク</t>
    </rPh>
    <rPh sb="28" eb="29">
      <t>クダ</t>
    </rPh>
    <phoneticPr fontId="2"/>
  </si>
  <si>
    <t>　　上表は分けて入力して下さい。その際、面積は重複しないように片方のみを入力して下さい。</t>
    <rPh sb="2" eb="3">
      <t>ジョウ</t>
    </rPh>
    <rPh sb="3" eb="4">
      <t>ヒョウ</t>
    </rPh>
    <rPh sb="5" eb="6">
      <t>ワ</t>
    </rPh>
    <rPh sb="8" eb="9">
      <t>ニュウ</t>
    </rPh>
    <rPh sb="9" eb="10">
      <t>リョク</t>
    </rPh>
    <rPh sb="12" eb="13">
      <t>クダ</t>
    </rPh>
    <phoneticPr fontId="2"/>
  </si>
  <si>
    <t>計算結果</t>
  </si>
  <si>
    <t>基準値</t>
  </si>
  <si>
    <t>判定</t>
  </si>
  <si>
    <t>　外皮平均熱貫流率　｛W/（㎡K）｝</t>
  </si>
  <si>
    <t>外皮性能基準値</t>
    <rPh sb="0" eb="2">
      <t>ガイヒ</t>
    </rPh>
    <rPh sb="2" eb="4">
      <t>セイノウ</t>
    </rPh>
    <rPh sb="4" eb="7">
      <t>キジュンチ</t>
    </rPh>
    <phoneticPr fontId="2"/>
  </si>
  <si>
    <t>3）省エネルギー基準外皮性能適合可否結果</t>
    <phoneticPr fontId="2"/>
  </si>
  <si>
    <t>壁</t>
    <rPh sb="0" eb="1">
      <t>カベ</t>
    </rPh>
    <phoneticPr fontId="2"/>
  </si>
  <si>
    <t>屋根</t>
    <rPh sb="0" eb="2">
      <t>ヤネ</t>
    </rPh>
    <phoneticPr fontId="2"/>
  </si>
  <si>
    <t>W-2</t>
    <phoneticPr fontId="2"/>
  </si>
  <si>
    <t>W-3</t>
    <phoneticPr fontId="2"/>
  </si>
  <si>
    <t>R-1</t>
    <phoneticPr fontId="2"/>
  </si>
  <si>
    <t>R-2</t>
    <phoneticPr fontId="2"/>
  </si>
  <si>
    <t>R-3</t>
    <phoneticPr fontId="2"/>
  </si>
  <si>
    <t>F-1</t>
    <phoneticPr fontId="2"/>
  </si>
  <si>
    <t>F-2</t>
    <phoneticPr fontId="2"/>
  </si>
  <si>
    <t>F-3</t>
    <phoneticPr fontId="2"/>
  </si>
  <si>
    <t>天井</t>
    <rPh sb="0" eb="2">
      <t>テンジョウ</t>
    </rPh>
    <phoneticPr fontId="2"/>
  </si>
  <si>
    <t>C-1</t>
    <phoneticPr fontId="2"/>
  </si>
  <si>
    <t>C-2</t>
    <phoneticPr fontId="2"/>
  </si>
  <si>
    <t>C-3</t>
    <phoneticPr fontId="2"/>
  </si>
  <si>
    <t>建具の構成</t>
    <rPh sb="0" eb="2">
      <t>タテグ</t>
    </rPh>
    <rPh sb="3" eb="5">
      <t>コウセイ</t>
    </rPh>
    <phoneticPr fontId="2"/>
  </si>
  <si>
    <t>ガラスの仕様</t>
    <rPh sb="4" eb="6">
      <t>シヨウ</t>
    </rPh>
    <phoneticPr fontId="2"/>
  </si>
  <si>
    <t>W-1</t>
    <phoneticPr fontId="2"/>
  </si>
  <si>
    <t>風除室
の有無</t>
    <rPh sb="0" eb="1">
      <t>フウ</t>
    </rPh>
    <rPh sb="1" eb="2">
      <t>ジョ</t>
    </rPh>
    <rPh sb="2" eb="3">
      <t>シツ</t>
    </rPh>
    <rPh sb="5" eb="7">
      <t>ウム</t>
    </rPh>
    <phoneticPr fontId="2"/>
  </si>
  <si>
    <t>ガラスのみ</t>
    <phoneticPr fontId="2"/>
  </si>
  <si>
    <t>和障子</t>
    <rPh sb="0" eb="1">
      <t>ワ</t>
    </rPh>
    <rPh sb="1" eb="3">
      <t>ショウジ</t>
    </rPh>
    <phoneticPr fontId="2"/>
  </si>
  <si>
    <t>外付けブラインド</t>
    <rPh sb="0" eb="1">
      <t>ソト</t>
    </rPh>
    <rPh sb="1" eb="2">
      <t>ヅ</t>
    </rPh>
    <phoneticPr fontId="2"/>
  </si>
  <si>
    <t>G7</t>
    <phoneticPr fontId="2"/>
  </si>
  <si>
    <t>G8</t>
    <phoneticPr fontId="2"/>
  </si>
  <si>
    <t>G9</t>
  </si>
  <si>
    <t>G10</t>
  </si>
  <si>
    <t>G11</t>
  </si>
  <si>
    <t>G12</t>
  </si>
  <si>
    <t>G13</t>
  </si>
  <si>
    <r>
      <t>内訳計算シートＡ　　</t>
    </r>
    <r>
      <rPr>
        <b/>
        <sz val="12"/>
        <rFont val="HG丸ｺﾞｼｯｸM-PRO"/>
        <family val="3"/>
        <charset val="128"/>
      </rPr>
      <t xml:space="preserve">＜北面＞ </t>
    </r>
    <r>
      <rPr>
        <sz val="12"/>
        <rFont val="HG丸ｺﾞｼｯｸM-PRO"/>
        <family val="3"/>
        <charset val="128"/>
      </rPr>
      <t>の外皮熱損失量と日射熱取得量</t>
    </r>
    <rPh sb="0" eb="2">
      <t>ウチワケ</t>
    </rPh>
    <rPh sb="2" eb="4">
      <t>ケイサン</t>
    </rPh>
    <rPh sb="11" eb="12">
      <t>キタ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</si>
  <si>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3" eb="4">
      <t>キタ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</si>
  <si>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rPh sb="4" eb="5">
      <t>キタ</t>
    </rPh>
    <phoneticPr fontId="2"/>
  </si>
  <si>
    <t>部位名称</t>
    <rPh sb="0" eb="2">
      <t>ブイ</t>
    </rPh>
    <rPh sb="2" eb="4">
      <t>メイショウ</t>
    </rPh>
    <phoneticPr fontId="2"/>
  </si>
  <si>
    <t>外気床</t>
    <rPh sb="0" eb="2">
      <t>ガイキ</t>
    </rPh>
    <rPh sb="2" eb="3">
      <t>ユカ</t>
    </rPh>
    <phoneticPr fontId="2"/>
  </si>
  <si>
    <t>その他床</t>
    <rPh sb="2" eb="3">
      <t>タ</t>
    </rPh>
    <rPh sb="3" eb="4">
      <t>ユカ</t>
    </rPh>
    <phoneticPr fontId="2"/>
  </si>
  <si>
    <t>AF-1</t>
    <phoneticPr fontId="2"/>
  </si>
  <si>
    <t>AF-2</t>
    <phoneticPr fontId="2"/>
  </si>
  <si>
    <t>AF-3</t>
    <phoneticPr fontId="2"/>
  </si>
  <si>
    <r>
      <t>内訳計算シートＢ　　</t>
    </r>
    <r>
      <rPr>
        <b/>
        <sz val="12"/>
        <rFont val="HG丸ｺﾞｼｯｸM-PRO"/>
        <family val="3"/>
        <charset val="128"/>
      </rPr>
      <t>＜屋根・天井・床等＞</t>
    </r>
    <r>
      <rPr>
        <sz val="12"/>
        <rFont val="HG丸ｺﾞｼｯｸM-PRO"/>
        <family val="3"/>
        <charset val="128"/>
      </rPr>
      <t xml:space="preserve"> の外皮熱損失量と日射熱取得量</t>
    </r>
    <phoneticPr fontId="2"/>
  </si>
  <si>
    <t>㎡　　　（</t>
    <phoneticPr fontId="2"/>
  </si>
  <si>
    <r>
      <t xml:space="preserve">窓 </t>
    </r>
    <r>
      <rPr>
        <b/>
        <sz val="12"/>
        <rFont val="HG丸ｺﾞｼｯｸM-PRO"/>
        <family val="3"/>
        <charset val="128"/>
      </rPr>
      <t>＜屋根・天井＞</t>
    </r>
    <r>
      <rPr>
        <sz val="12"/>
        <rFont val="HG丸ｺﾞｼｯｸM-PRO"/>
        <family val="3"/>
        <charset val="128"/>
      </rPr>
      <t xml:space="preserve"> 各値合計</t>
    </r>
    <rPh sb="0" eb="1">
      <t>マド</t>
    </rPh>
    <rPh sb="10" eb="11">
      <t>カク</t>
    </rPh>
    <rPh sb="11" eb="12">
      <t>アタイ</t>
    </rPh>
    <rPh sb="12" eb="14">
      <t>ゴウケイ</t>
    </rPh>
    <phoneticPr fontId="2"/>
  </si>
  <si>
    <r>
      <t xml:space="preserve">外壁 </t>
    </r>
    <r>
      <rPr>
        <b/>
        <sz val="12"/>
        <rFont val="HG丸ｺﾞｼｯｸM-PRO"/>
        <family val="3"/>
        <charset val="128"/>
      </rPr>
      <t>＜屋根・天井・床＞</t>
    </r>
    <r>
      <rPr>
        <sz val="12"/>
        <rFont val="HG丸ｺﾞｼｯｸM-PRO"/>
        <family val="3"/>
        <charset val="128"/>
      </rPr>
      <t xml:space="preserve"> 各値合計</t>
    </r>
    <rPh sb="0" eb="2">
      <t>ガイヘキ</t>
    </rPh>
    <rPh sb="10" eb="11">
      <t>ユカ</t>
    </rPh>
    <phoneticPr fontId="2"/>
  </si>
  <si>
    <t>断熱仕様一覧シート</t>
    <rPh sb="0" eb="2">
      <t>ダンネツ</t>
    </rPh>
    <rPh sb="2" eb="4">
      <t>シヨウ</t>
    </rPh>
    <rPh sb="4" eb="6">
      <t>イチラン</t>
    </rPh>
    <phoneticPr fontId="2"/>
  </si>
  <si>
    <t>断熱材</t>
    <rPh sb="0" eb="3">
      <t>ダンネツザイ</t>
    </rPh>
    <phoneticPr fontId="2"/>
  </si>
  <si>
    <t>断熱工法等</t>
    <rPh sb="0" eb="2">
      <t>ダンネツ</t>
    </rPh>
    <rPh sb="2" eb="4">
      <t>コウホウ</t>
    </rPh>
    <rPh sb="4" eb="5">
      <t>ナド</t>
    </rPh>
    <phoneticPr fontId="2"/>
  </si>
  <si>
    <t>材料名</t>
    <rPh sb="0" eb="2">
      <t>ザイリョウ</t>
    </rPh>
    <rPh sb="2" eb="3">
      <t>メイ</t>
    </rPh>
    <phoneticPr fontId="2"/>
  </si>
  <si>
    <t>充填断熱</t>
    <rPh sb="0" eb="2">
      <t>ジュウテン</t>
    </rPh>
    <rPh sb="2" eb="4">
      <t>ダンネツ</t>
    </rPh>
    <phoneticPr fontId="2"/>
  </si>
  <si>
    <t>充填断熱＋外張断熱</t>
    <rPh sb="0" eb="2">
      <t>ジュウテン</t>
    </rPh>
    <rPh sb="2" eb="4">
      <t>ダンネツ</t>
    </rPh>
    <rPh sb="5" eb="6">
      <t>ソト</t>
    </rPh>
    <rPh sb="6" eb="7">
      <t>ハリ</t>
    </rPh>
    <rPh sb="7" eb="9">
      <t>ダンネツ</t>
    </rPh>
    <phoneticPr fontId="2"/>
  </si>
  <si>
    <t>外張断熱</t>
    <rPh sb="0" eb="1">
      <t>ソト</t>
    </rPh>
    <rPh sb="1" eb="2">
      <t>ハリ</t>
    </rPh>
    <rPh sb="2" eb="4">
      <t>ダンネツ</t>
    </rPh>
    <phoneticPr fontId="2"/>
  </si>
  <si>
    <t>桁間断熱</t>
    <rPh sb="0" eb="1">
      <t>ケタ</t>
    </rPh>
    <rPh sb="1" eb="2">
      <t>マ</t>
    </rPh>
    <rPh sb="2" eb="4">
      <t>ダンネツ</t>
    </rPh>
    <phoneticPr fontId="2"/>
  </si>
  <si>
    <t>―</t>
  </si>
  <si>
    <t>―</t>
    <phoneticPr fontId="2"/>
  </si>
  <si>
    <t>←　※「軸組構法等」または「枠組構法等」を選んで下さい</t>
    <rPh sb="4" eb="5">
      <t>ジク</t>
    </rPh>
    <rPh sb="5" eb="6">
      <t>クミ</t>
    </rPh>
    <rPh sb="6" eb="7">
      <t>コウ</t>
    </rPh>
    <rPh sb="7" eb="8">
      <t>ホウ</t>
    </rPh>
    <rPh sb="8" eb="9">
      <t>ナド</t>
    </rPh>
    <rPh sb="14" eb="15">
      <t>ワク</t>
    </rPh>
    <rPh sb="15" eb="16">
      <t>ク</t>
    </rPh>
    <rPh sb="16" eb="17">
      <t>コウ</t>
    </rPh>
    <rPh sb="17" eb="18">
      <t>ホウ</t>
    </rPh>
    <rPh sb="18" eb="19">
      <t>ナド</t>
    </rPh>
    <rPh sb="21" eb="22">
      <t>エラ</t>
    </rPh>
    <rPh sb="24" eb="25">
      <t>クダ</t>
    </rPh>
    <phoneticPr fontId="2"/>
  </si>
  <si>
    <t>熱貫流率
（W/㎡K）</t>
    <rPh sb="0" eb="1">
      <t>ネツ</t>
    </rPh>
    <rPh sb="1" eb="3">
      <t>カンリュウ</t>
    </rPh>
    <rPh sb="3" eb="4">
      <t>リツ</t>
    </rPh>
    <phoneticPr fontId="2"/>
  </si>
  <si>
    <t>熱伝導率</t>
    <rPh sb="0" eb="1">
      <t>ネツ</t>
    </rPh>
    <rPh sb="1" eb="4">
      <t>デンドウリツ</t>
    </rPh>
    <phoneticPr fontId="2"/>
  </si>
  <si>
    <t>厚さ（ｍ）</t>
    <rPh sb="0" eb="1">
      <t>アツ</t>
    </rPh>
    <phoneticPr fontId="2"/>
  </si>
  <si>
    <t>枠組</t>
    <rPh sb="0" eb="1">
      <t>ワク</t>
    </rPh>
    <rPh sb="1" eb="2">
      <t>クミ</t>
    </rPh>
    <phoneticPr fontId="2"/>
  </si>
  <si>
    <t>軸組</t>
    <rPh sb="0" eb="1">
      <t>ジク</t>
    </rPh>
    <rPh sb="1" eb="2">
      <t>クミ</t>
    </rPh>
    <phoneticPr fontId="2"/>
  </si>
  <si>
    <t>床</t>
    <rPh sb="0" eb="1">
      <t>ユカ</t>
    </rPh>
    <phoneticPr fontId="2"/>
  </si>
  <si>
    <t>―</t>
    <phoneticPr fontId="2"/>
  </si>
  <si>
    <t>ガラスの
仕様</t>
    <rPh sb="5" eb="7">
      <t>シヨウ</t>
    </rPh>
    <phoneticPr fontId="2"/>
  </si>
  <si>
    <t>建具の仕様</t>
    <rPh sb="0" eb="2">
      <t>タテグ</t>
    </rPh>
    <rPh sb="3" eb="5">
      <t>シヨウ</t>
    </rPh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</si>
  <si>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</si>
  <si>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</si>
  <si>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</si>
  <si>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</si>
  <si>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</si>
  <si>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</si>
  <si>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</si>
  <si>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</si>
  <si>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</si>
  <si>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</si>
  <si>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</si>
  <si>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</si>
  <si>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</si>
  <si>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</si>
  <si>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</si>
  <si>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</si>
  <si>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</si>
  <si>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</si>
  <si>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</si>
  <si>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</si>
  <si>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</si>
  <si>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</si>
  <si>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</si>
  <si>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</si>
  <si>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</si>
  <si>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</si>
  <si>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</si>
  <si>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</si>
  <si>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</si>
  <si>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</si>
  <si>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日射熱取得率</t>
    <rPh sb="0" eb="2">
      <t>ニッシャ</t>
    </rPh>
    <rPh sb="2" eb="3">
      <t>ネツ</t>
    </rPh>
    <rPh sb="3" eb="6">
      <t>シュトクリツ</t>
    </rPh>
    <phoneticPr fontId="2"/>
  </si>
  <si>
    <t>熱貫流</t>
    <rPh sb="0" eb="1">
      <t>ネツ</t>
    </rPh>
    <rPh sb="1" eb="3">
      <t>カンリュウ</t>
    </rPh>
    <phoneticPr fontId="2"/>
  </si>
  <si>
    <t>aa</t>
    <phoneticPr fontId="2"/>
  </si>
  <si>
    <t>bb</t>
    <phoneticPr fontId="2"/>
  </si>
  <si>
    <t>cc</t>
    <phoneticPr fontId="2"/>
  </si>
  <si>
    <t>dd</t>
    <phoneticPr fontId="2"/>
  </si>
  <si>
    <t>ee</t>
    <phoneticPr fontId="2"/>
  </si>
  <si>
    <t>ff</t>
    <phoneticPr fontId="2"/>
  </si>
  <si>
    <t>gg</t>
    <phoneticPr fontId="2"/>
  </si>
  <si>
    <t>hh</t>
    <phoneticPr fontId="2"/>
  </si>
  <si>
    <t>ii</t>
    <phoneticPr fontId="2"/>
  </si>
  <si>
    <t>jj</t>
    <phoneticPr fontId="2"/>
  </si>
  <si>
    <t>kk</t>
    <phoneticPr fontId="2"/>
  </si>
  <si>
    <t>ll</t>
    <phoneticPr fontId="2"/>
  </si>
  <si>
    <t>mm</t>
    <phoneticPr fontId="2"/>
  </si>
  <si>
    <t>nn</t>
    <phoneticPr fontId="2"/>
  </si>
  <si>
    <t>oo</t>
    <phoneticPr fontId="2"/>
  </si>
  <si>
    <t>pp</t>
    <phoneticPr fontId="2"/>
  </si>
  <si>
    <t>qq</t>
    <phoneticPr fontId="2"/>
  </si>
  <si>
    <t>rr</t>
    <phoneticPr fontId="2"/>
  </si>
  <si>
    <t>ss</t>
    <phoneticPr fontId="2"/>
  </si>
  <si>
    <t>tt</t>
    <phoneticPr fontId="2"/>
  </si>
  <si>
    <t>uu</t>
    <phoneticPr fontId="2"/>
  </si>
  <si>
    <t>vv</t>
    <phoneticPr fontId="2"/>
  </si>
  <si>
    <t>www</t>
    <phoneticPr fontId="2"/>
  </si>
  <si>
    <t>ww</t>
    <phoneticPr fontId="2"/>
  </si>
  <si>
    <t>xx</t>
    <phoneticPr fontId="2"/>
  </si>
  <si>
    <t>yy</t>
    <phoneticPr fontId="2"/>
  </si>
  <si>
    <t>zz</t>
    <phoneticPr fontId="2"/>
  </si>
  <si>
    <t>aaa</t>
    <phoneticPr fontId="2"/>
  </si>
  <si>
    <t>bbb</t>
    <phoneticPr fontId="2"/>
  </si>
  <si>
    <t>ccc</t>
    <phoneticPr fontId="2"/>
  </si>
  <si>
    <t>ddd</t>
    <phoneticPr fontId="2"/>
  </si>
  <si>
    <t>eee</t>
    <phoneticPr fontId="2"/>
  </si>
  <si>
    <t>fff</t>
    <phoneticPr fontId="2"/>
  </si>
  <si>
    <t>ggg</t>
    <phoneticPr fontId="2"/>
  </si>
  <si>
    <t>hhh</t>
    <phoneticPr fontId="2"/>
  </si>
  <si>
    <t>iii</t>
    <phoneticPr fontId="2"/>
  </si>
  <si>
    <t>jjj</t>
    <phoneticPr fontId="2"/>
  </si>
  <si>
    <t>kkk</t>
    <phoneticPr fontId="2"/>
  </si>
  <si>
    <t>lll</t>
    <phoneticPr fontId="2"/>
  </si>
  <si>
    <t>mmm</t>
    <phoneticPr fontId="2"/>
  </si>
  <si>
    <t>nnn</t>
    <phoneticPr fontId="2"/>
  </si>
  <si>
    <t>ooo</t>
    <phoneticPr fontId="2"/>
  </si>
  <si>
    <t>ppp</t>
    <phoneticPr fontId="2"/>
  </si>
  <si>
    <t>qqq</t>
    <phoneticPr fontId="2"/>
  </si>
  <si>
    <t>rrr</t>
    <phoneticPr fontId="2"/>
  </si>
  <si>
    <t>sss</t>
    <phoneticPr fontId="2"/>
  </si>
  <si>
    <t>ttt</t>
    <phoneticPr fontId="2"/>
  </si>
  <si>
    <t>uuu</t>
    <phoneticPr fontId="2"/>
  </si>
  <si>
    <t>vvv</t>
    <phoneticPr fontId="2"/>
  </si>
  <si>
    <t>xxx</t>
    <phoneticPr fontId="2"/>
  </si>
  <si>
    <t>yyy</t>
    <phoneticPr fontId="2"/>
  </si>
  <si>
    <t>zzz</t>
    <phoneticPr fontId="2"/>
  </si>
  <si>
    <t>aaaa</t>
    <phoneticPr fontId="2"/>
  </si>
  <si>
    <t>bbbb</t>
    <phoneticPr fontId="2"/>
  </si>
  <si>
    <t>cccc</t>
    <phoneticPr fontId="2"/>
  </si>
  <si>
    <t>dddd</t>
    <phoneticPr fontId="2"/>
  </si>
  <si>
    <t>eeee</t>
    <phoneticPr fontId="2"/>
  </si>
  <si>
    <t>ffff</t>
    <phoneticPr fontId="2"/>
  </si>
  <si>
    <t>gggg</t>
    <phoneticPr fontId="2"/>
  </si>
  <si>
    <t>hhhh</t>
    <phoneticPr fontId="2"/>
  </si>
  <si>
    <t>iiii</t>
    <phoneticPr fontId="2"/>
  </si>
  <si>
    <t>jjjj</t>
    <phoneticPr fontId="2"/>
  </si>
  <si>
    <t>kkkk</t>
    <phoneticPr fontId="2"/>
  </si>
  <si>
    <t>llll</t>
    <phoneticPr fontId="2"/>
  </si>
  <si>
    <t>mmmm</t>
    <phoneticPr fontId="2"/>
  </si>
  <si>
    <t>nnnn</t>
    <phoneticPr fontId="2"/>
  </si>
  <si>
    <t>oooo</t>
    <phoneticPr fontId="2"/>
  </si>
  <si>
    <t>pppp</t>
    <phoneticPr fontId="2"/>
  </si>
  <si>
    <t>a~z</t>
    <phoneticPr fontId="2"/>
  </si>
  <si>
    <t>aa~zz</t>
    <phoneticPr fontId="2"/>
  </si>
  <si>
    <t>aaa~zzz</t>
    <phoneticPr fontId="2"/>
  </si>
  <si>
    <t>日射熱取得率（ガラスのみ）</t>
    <rPh sb="0" eb="2">
      <t>ニッシャ</t>
    </rPh>
    <rPh sb="2" eb="3">
      <t>ネツ</t>
    </rPh>
    <rPh sb="3" eb="6">
      <t>シュトクリツ</t>
    </rPh>
    <phoneticPr fontId="2"/>
  </si>
  <si>
    <t>日射熱取得率（和障子）</t>
    <rPh sb="0" eb="2">
      <t>ニッシャ</t>
    </rPh>
    <rPh sb="2" eb="3">
      <t>ネツ</t>
    </rPh>
    <rPh sb="3" eb="6">
      <t>シュトクリツ</t>
    </rPh>
    <rPh sb="7" eb="8">
      <t>ワ</t>
    </rPh>
    <rPh sb="8" eb="10">
      <t>ショウジ</t>
    </rPh>
    <phoneticPr fontId="2"/>
  </si>
  <si>
    <t>日射熱取得率（外付けブラインド）</t>
    <rPh sb="0" eb="2">
      <t>ニッシャ</t>
    </rPh>
    <rPh sb="2" eb="3">
      <t>ネツ</t>
    </rPh>
    <rPh sb="3" eb="6">
      <t>シュトクリツ</t>
    </rPh>
    <rPh sb="7" eb="8">
      <t>ソト</t>
    </rPh>
    <rPh sb="8" eb="9">
      <t>ヅ</t>
    </rPh>
    <phoneticPr fontId="2"/>
  </si>
  <si>
    <t>日射熱取得率（計算使用値）</t>
    <rPh sb="0" eb="2">
      <t>ニッシャ</t>
    </rPh>
    <rPh sb="2" eb="3">
      <t>ネツ</t>
    </rPh>
    <rPh sb="3" eb="6">
      <t>シュトクリツ</t>
    </rPh>
    <rPh sb="7" eb="9">
      <t>ケイサン</t>
    </rPh>
    <rPh sb="9" eb="11">
      <t>シヨウ</t>
    </rPh>
    <rPh sb="11" eb="12">
      <t>チ</t>
    </rPh>
    <phoneticPr fontId="2"/>
  </si>
  <si>
    <t>建具の仕様</t>
    <phoneticPr fontId="2"/>
  </si>
  <si>
    <t>ガラスの仕様</t>
    <phoneticPr fontId="2"/>
  </si>
  <si>
    <t>G6</t>
  </si>
  <si>
    <t>窓・天窓</t>
    <rPh sb="0" eb="1">
      <t>マド</t>
    </rPh>
    <rPh sb="2" eb="4">
      <t>テンマド</t>
    </rPh>
    <phoneticPr fontId="2"/>
  </si>
  <si>
    <t>aaaa~wwww</t>
    <phoneticPr fontId="2"/>
  </si>
  <si>
    <t>ドア番号</t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</si>
  <si>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</si>
  <si>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t>寸法（ｍ）</t>
    <phoneticPr fontId="2"/>
  </si>
  <si>
    <t>2）ドアの入力</t>
    <phoneticPr fontId="2"/>
  </si>
  <si>
    <t>3）外壁の入力</t>
    <phoneticPr fontId="2"/>
  </si>
  <si>
    <t>土壁の外張断熱</t>
    <rPh sb="0" eb="1">
      <t>ツチ</t>
    </rPh>
    <rPh sb="1" eb="2">
      <t>カベ</t>
    </rPh>
    <rPh sb="3" eb="4">
      <t>ソト</t>
    </rPh>
    <rPh sb="4" eb="5">
      <t>ハリ</t>
    </rPh>
    <rPh sb="5" eb="7">
      <t>ダンネツ</t>
    </rPh>
    <phoneticPr fontId="2"/>
  </si>
  <si>
    <t>土壁以外の外張断熱</t>
    <rPh sb="0" eb="1">
      <t>ツチ</t>
    </rPh>
    <rPh sb="1" eb="2">
      <t>カベ</t>
    </rPh>
    <rPh sb="2" eb="4">
      <t>イガイ</t>
    </rPh>
    <rPh sb="5" eb="6">
      <t>ソト</t>
    </rPh>
    <rPh sb="6" eb="7">
      <t>ハリ</t>
    </rPh>
    <rPh sb="7" eb="9">
      <t>ダンネツ</t>
    </rPh>
    <phoneticPr fontId="2"/>
  </si>
  <si>
    <t>　　　　外皮性能の計算方法を遵守しています。</t>
    <phoneticPr fontId="2"/>
  </si>
  <si>
    <t>　冷房期の外皮平均日射熱取得率</t>
    <rPh sb="3" eb="4">
      <t>キ</t>
    </rPh>
    <phoneticPr fontId="2"/>
  </si>
  <si>
    <t>27:単板</t>
    <rPh sb="3" eb="4">
      <t>タン</t>
    </rPh>
    <rPh sb="4" eb="5">
      <t>イタ</t>
    </rPh>
    <phoneticPr fontId="2"/>
  </si>
  <si>
    <t>28:熱線反射1種</t>
    <rPh sb="3" eb="5">
      <t>ネッセン</t>
    </rPh>
    <rPh sb="5" eb="7">
      <t>ハンシャ</t>
    </rPh>
    <rPh sb="8" eb="9">
      <t>シュ</t>
    </rPh>
    <phoneticPr fontId="2"/>
  </si>
  <si>
    <t>29:熱線反射2種</t>
    <rPh sb="3" eb="5">
      <t>ネッセン</t>
    </rPh>
    <rPh sb="5" eb="7">
      <t>ハンシャ</t>
    </rPh>
    <rPh sb="8" eb="9">
      <t>シュ</t>
    </rPh>
    <phoneticPr fontId="2"/>
  </si>
  <si>
    <t>30:熱線反射3種</t>
    <rPh sb="3" eb="5">
      <t>ネッセン</t>
    </rPh>
    <rPh sb="5" eb="7">
      <t>ハンシャ</t>
    </rPh>
    <rPh sb="8" eb="9">
      <t>シュ</t>
    </rPh>
    <phoneticPr fontId="2"/>
  </si>
  <si>
    <t>31:熱線吸収板2種</t>
    <rPh sb="3" eb="5">
      <t>ネッセン</t>
    </rPh>
    <rPh sb="5" eb="7">
      <t>キュウシュウ</t>
    </rPh>
    <rPh sb="7" eb="8">
      <t>イタ</t>
    </rPh>
    <rPh sb="9" eb="10">
      <t>シュ</t>
    </rPh>
    <phoneticPr fontId="2"/>
  </si>
  <si>
    <t>1:ダブルLow-E　三層複層（Ｇ7以上×2）日射取得型</t>
    <rPh sb="11" eb="12">
      <t>3</t>
    </rPh>
    <rPh sb="12" eb="13">
      <t>ソウ</t>
    </rPh>
    <rPh sb="13" eb="15">
      <t>フクソウ</t>
    </rPh>
    <rPh sb="18" eb="20">
      <t>イジョウ</t>
    </rPh>
    <rPh sb="23" eb="25">
      <t>ニッシャ</t>
    </rPh>
    <rPh sb="25" eb="27">
      <t>シュトク</t>
    </rPh>
    <rPh sb="27" eb="28">
      <t>ガタ</t>
    </rPh>
    <phoneticPr fontId="2"/>
  </si>
  <si>
    <t>2:ダブルLow-E　三層複層（Ｇ7以上×2）日射遮蔽型</t>
    <rPh sb="11" eb="12">
      <t>3</t>
    </rPh>
    <rPh sb="12" eb="13">
      <t>ソウ</t>
    </rPh>
    <rPh sb="13" eb="15">
      <t>フクソウ</t>
    </rPh>
    <rPh sb="23" eb="25">
      <t>ニッシャ</t>
    </rPh>
    <rPh sb="25" eb="27">
      <t>シャヘイ</t>
    </rPh>
    <rPh sb="27" eb="28">
      <t>ガタ</t>
    </rPh>
    <phoneticPr fontId="2"/>
  </si>
  <si>
    <t>3:Low-E　三層複層（Ｇ6以上×2）日射取得型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シュトク</t>
    </rPh>
    <rPh sb="24" eb="25">
      <t>ガタ</t>
    </rPh>
    <phoneticPr fontId="2"/>
  </si>
  <si>
    <t>4:Low-E　三層複層（Ｇ6以上×2）日射遮蔽型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シャヘイ</t>
    </rPh>
    <rPh sb="24" eb="25">
      <t>ガタ</t>
    </rPh>
    <phoneticPr fontId="2"/>
  </si>
  <si>
    <t>5:Low-E　三層複層（Ａ9以上×2）日射取得型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シュトク</t>
    </rPh>
    <rPh sb="24" eb="25">
      <t>ガタ</t>
    </rPh>
    <phoneticPr fontId="2"/>
  </si>
  <si>
    <t>6:Low-E　三層複層（Ａ9以上×2）日射遮蔽型</t>
    <rPh sb="8" eb="9">
      <t>3</t>
    </rPh>
    <rPh sb="9" eb="10">
      <t>ソウ</t>
    </rPh>
    <rPh sb="10" eb="12">
      <t>フクソウ</t>
    </rPh>
    <rPh sb="20" eb="22">
      <t>ニッシャ</t>
    </rPh>
    <rPh sb="22" eb="24">
      <t>シャヘイ</t>
    </rPh>
    <rPh sb="24" eb="25">
      <t>ガタ</t>
    </rPh>
    <phoneticPr fontId="2"/>
  </si>
  <si>
    <t>7:Low-E　複層（G12以上）日射取得型</t>
    <rPh sb="8" eb="10">
      <t>フクソウ</t>
    </rPh>
    <phoneticPr fontId="2"/>
  </si>
  <si>
    <t>8:Low-E　複層（G12以上）日射遮蔽型</t>
    <rPh sb="8" eb="10">
      <t>フクソウ</t>
    </rPh>
    <rPh sb="19" eb="21">
      <t>シャヘイ</t>
    </rPh>
    <phoneticPr fontId="2"/>
  </si>
  <si>
    <t>9:Low-E　複層（Ａ10以上）日射取得型</t>
    <rPh sb="8" eb="10">
      <t>フクソウ</t>
    </rPh>
    <phoneticPr fontId="2"/>
  </si>
  <si>
    <t>10:Low-E　複層（Ａ10以上）日射遮蔽型</t>
    <rPh sb="9" eb="11">
      <t>フクソウ</t>
    </rPh>
    <rPh sb="20" eb="22">
      <t>シャヘイ</t>
    </rPh>
    <phoneticPr fontId="2"/>
  </si>
  <si>
    <t>13:遮熱複層（Ａ10以上）熱線反射1種</t>
    <rPh sb="3" eb="4">
      <t>シャ</t>
    </rPh>
    <rPh sb="4" eb="5">
      <t>ネツ</t>
    </rPh>
    <rPh sb="5" eb="7">
      <t>フクソウ</t>
    </rPh>
    <rPh sb="14" eb="16">
      <t>ネッセン</t>
    </rPh>
    <rPh sb="16" eb="18">
      <t>ハンシャ</t>
    </rPh>
    <rPh sb="19" eb="20">
      <t>シュ</t>
    </rPh>
    <phoneticPr fontId="2"/>
  </si>
  <si>
    <t>14:遮熱複層（Ａ10以上）熱線反射2種</t>
    <rPh sb="3" eb="4">
      <t>シャ</t>
    </rPh>
    <rPh sb="4" eb="5">
      <t>ネツ</t>
    </rPh>
    <rPh sb="5" eb="7">
      <t>フクソウ</t>
    </rPh>
    <rPh sb="14" eb="16">
      <t>ネッセン</t>
    </rPh>
    <rPh sb="16" eb="18">
      <t>ハンシャ</t>
    </rPh>
    <rPh sb="19" eb="20">
      <t>シュ</t>
    </rPh>
    <phoneticPr fontId="2"/>
  </si>
  <si>
    <t>15:遮熱複層（Ａ10以上）熱線反射3種</t>
    <rPh sb="3" eb="4">
      <t>シャ</t>
    </rPh>
    <rPh sb="4" eb="5">
      <t>ネツ</t>
    </rPh>
    <rPh sb="5" eb="7">
      <t>フクソウ</t>
    </rPh>
    <rPh sb="14" eb="16">
      <t>ネッセン</t>
    </rPh>
    <rPh sb="16" eb="18">
      <t>ハンシャ</t>
    </rPh>
    <rPh sb="19" eb="20">
      <t>シュ</t>
    </rPh>
    <phoneticPr fontId="2"/>
  </si>
  <si>
    <t>16:遮熱複層（Ａ10以上）熱線吸収板2種</t>
    <rPh sb="3" eb="4">
      <t>シャ</t>
    </rPh>
    <rPh sb="4" eb="5">
      <t>ネツ</t>
    </rPh>
    <rPh sb="5" eb="7">
      <t>フクソウ</t>
    </rPh>
    <rPh sb="14" eb="16">
      <t>ネッセン</t>
    </rPh>
    <rPh sb="16" eb="18">
      <t>キュウシュウ</t>
    </rPh>
    <rPh sb="18" eb="19">
      <t>イタ</t>
    </rPh>
    <rPh sb="20" eb="21">
      <t>シュ</t>
    </rPh>
    <phoneticPr fontId="2"/>
  </si>
  <si>
    <t>17:複層（Ａ10以上）</t>
    <rPh sb="3" eb="5">
      <t>フクソウ</t>
    </rPh>
    <phoneticPr fontId="2"/>
  </si>
  <si>
    <t>32:Low-E　複層（G16以上）日射取得型</t>
    <rPh sb="9" eb="11">
      <t>フクソウ</t>
    </rPh>
    <phoneticPr fontId="2"/>
  </si>
  <si>
    <t>33:Low-E　複層（G16以上）日射遮蔽型</t>
    <rPh sb="9" eb="11">
      <t>フクソウ</t>
    </rPh>
    <rPh sb="20" eb="22">
      <t>シャヘイ</t>
    </rPh>
    <phoneticPr fontId="2"/>
  </si>
  <si>
    <t>36:Low-E　複層（G8以上）日射取得型</t>
    <rPh sb="9" eb="11">
      <t>フクソウ</t>
    </rPh>
    <phoneticPr fontId="2"/>
  </si>
  <si>
    <t>37:Low-E　複層（G8以上）日射遮蔽型</t>
    <rPh sb="9" eb="11">
      <t>フクソウ</t>
    </rPh>
    <rPh sb="19" eb="21">
      <t>シャヘイ</t>
    </rPh>
    <phoneticPr fontId="2"/>
  </si>
  <si>
    <t>40:単板×2（Ａ12以上）</t>
    <rPh sb="3" eb="4">
      <t>タン</t>
    </rPh>
    <rPh sb="4" eb="5">
      <t>バン</t>
    </rPh>
    <phoneticPr fontId="2"/>
  </si>
  <si>
    <t>11:Low-E　複層（G8以上Ｇ12未満）日射取得型</t>
    <rPh sb="9" eb="11">
      <t>フクソウ</t>
    </rPh>
    <rPh sb="19" eb="21">
      <t>ミマン</t>
    </rPh>
    <phoneticPr fontId="2"/>
  </si>
  <si>
    <t>12:Low-E　複層（G8以上Ｇ12未満）日射遮蔽型</t>
    <rPh sb="9" eb="11">
      <t>フクソウ</t>
    </rPh>
    <rPh sb="24" eb="26">
      <t>シャヘイ</t>
    </rPh>
    <phoneticPr fontId="2"/>
  </si>
  <si>
    <t>18:Low-E　複層（Ａ5以上Ａ10未満）日射取得型</t>
    <rPh sb="9" eb="11">
      <t>フクソウ</t>
    </rPh>
    <phoneticPr fontId="2"/>
  </si>
  <si>
    <t>19:Low-E　複層（Ａ5以上Ａ10未満）日射遮蔽型</t>
    <rPh sb="9" eb="11">
      <t>フクソウ</t>
    </rPh>
    <rPh sb="24" eb="26">
      <t>シャヘイ</t>
    </rPh>
    <phoneticPr fontId="2"/>
  </si>
  <si>
    <t>22:遮熱複層（Ａ6以上Ａ10未満）熱線反射1種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</si>
  <si>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23:遮熱複層（Ａ6以上Ａ10未満）熱線反射2種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</si>
  <si>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24:遮熱複層（Ａ6以上Ａ10未満）熱線反射3種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</si>
  <si>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25:遮熱複層（Ａ6以上Ａ10未満）熱線吸収板2種</t>
    <rPh sb="3" eb="4">
      <t>シャ</t>
    </rPh>
    <rPh sb="4" eb="5">
      <t>ネツ</t>
    </rPh>
    <rPh sb="5" eb="7">
      <t>フクソウ</t>
    </rPh>
    <rPh sb="18" eb="20">
      <t>ネッセン</t>
    </rPh>
    <rPh sb="20" eb="22">
      <t>キュウシュウ</t>
    </rPh>
    <rPh sb="22" eb="23">
      <t>イタ</t>
    </rPh>
    <rPh sb="24" eb="25">
      <t>シュ</t>
    </rPh>
    <phoneticPr fontId="2"/>
  </si>
  <si>
    <t>26:複層（Ａ6以上Ａ10未満）</t>
    <rPh sb="3" eb="5">
      <t>フクソウ</t>
    </rPh>
    <phoneticPr fontId="2"/>
  </si>
  <si>
    <t>34:Low-E　複層（G8以上Ｇ16未満）日射取得型</t>
    <rPh sb="9" eb="11">
      <t>フクソウ</t>
    </rPh>
    <phoneticPr fontId="2"/>
  </si>
  <si>
    <t>35:Low-E　複層（G8以上Ｇ16未満）日射遮蔽型</t>
    <rPh sb="9" eb="11">
      <t>フクソウ</t>
    </rPh>
    <rPh sb="24" eb="26">
      <t>シャヘイ</t>
    </rPh>
    <phoneticPr fontId="2"/>
  </si>
  <si>
    <t>38:Low-E　複層（Ａ6以上Ａ10未満）日射取得型</t>
    <rPh sb="9" eb="11">
      <t>フクソウ</t>
    </rPh>
    <phoneticPr fontId="2"/>
  </si>
  <si>
    <t>39:Low-E　複層（Ａ6以上Ａ10未満）日射遮蔽型</t>
    <rPh sb="9" eb="11">
      <t>フクソウ</t>
    </rPh>
    <rPh sb="24" eb="26">
      <t>シャヘイ</t>
    </rPh>
    <phoneticPr fontId="2"/>
  </si>
  <si>
    <t>22:遮熱複層（Ａ4以上Ａ10未満）熱線反射1種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</si>
  <si>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23:遮熱複層（Ａ4以上Ａ10未満）熱線反射2種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</si>
  <si>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24:遮熱複層（Ａ4以上Ａ10未満）熱線反射3種</t>
    <rPh sb="3" eb="4">
      <t>シャ</t>
    </rPh>
    <rPh sb="4" eb="5">
      <t>ネツ</t>
    </rPh>
    <rPh sb="5" eb="7">
      <t>フクソウ</t>
    </rPh>
    <rPh sb="18" eb="20">
      <t>ネッセン</t>
    </rPh>
    <rPh sb="20" eb="22">
      <t>ハンシャ</t>
    </rPh>
    <rPh sb="23" eb="24">
      <t>シュ</t>
    </rPh>
    <phoneticPr fontId="2"/>
  </si>
  <si>
    <t>25:遮熱複層（Ａ4以上Ａ10未満）熱線吸収板2種</t>
    <rPh sb="3" eb="4">
      <t>シャ</t>
    </rPh>
    <rPh sb="4" eb="5">
      <t>ネツ</t>
    </rPh>
    <rPh sb="5" eb="7">
      <t>フクソウ</t>
    </rPh>
    <rPh sb="18" eb="20">
      <t>ネッセン</t>
    </rPh>
    <rPh sb="20" eb="22">
      <t>キュウシュウ</t>
    </rPh>
    <rPh sb="22" eb="23">
      <t>イタ</t>
    </rPh>
    <rPh sb="24" eb="25">
      <t>シュ</t>
    </rPh>
    <phoneticPr fontId="2"/>
  </si>
  <si>
    <t>26:複層（Ａ4以上Ａ10未満）</t>
    <rPh sb="3" eb="5">
      <t>フクソウ</t>
    </rPh>
    <phoneticPr fontId="2"/>
  </si>
  <si>
    <t>41:単板×2（Ａ6以上Ａ12未満）</t>
    <rPh sb="3" eb="4">
      <t>タン</t>
    </rPh>
    <rPh sb="4" eb="5">
      <t>バン</t>
    </rPh>
    <phoneticPr fontId="2"/>
  </si>
  <si>
    <t>27:単板</t>
    <rPh sb="3" eb="4">
      <t>タン</t>
    </rPh>
    <rPh sb="4" eb="5">
      <t>バン</t>
    </rPh>
    <phoneticPr fontId="2"/>
  </si>
  <si>
    <t>31:熱線吸収板2種</t>
    <phoneticPr fontId="2"/>
  </si>
  <si>
    <t>31:熱線吸収板2種</t>
  </si>
  <si>
    <t>　注８：本計算シートは基礎の条件により、使用できない場合があります。（シートＣ（基礎）の注２参照）</t>
    <rPh sb="1" eb="2">
      <t>チュウ</t>
    </rPh>
    <rPh sb="4" eb="5">
      <t>ホン</t>
    </rPh>
    <rPh sb="5" eb="7">
      <t>ケイサン</t>
    </rPh>
    <rPh sb="11" eb="13">
      <t>キソ</t>
    </rPh>
    <rPh sb="14" eb="16">
      <t>ジョウケン</t>
    </rPh>
    <rPh sb="20" eb="22">
      <t>シヨウ</t>
    </rPh>
    <rPh sb="26" eb="28">
      <t>バアイ</t>
    </rPh>
    <rPh sb="40" eb="42">
      <t>キソ</t>
    </rPh>
    <rPh sb="44" eb="45">
      <t>チュウ</t>
    </rPh>
    <rPh sb="46" eb="48">
      <t>サンショウ</t>
    </rPh>
    <phoneticPr fontId="2"/>
  </si>
  <si>
    <t>更新履歴</t>
    <rPh sb="0" eb="4">
      <t>コウシンリレキ</t>
    </rPh>
    <phoneticPr fontId="2"/>
  </si>
  <si>
    <t>G14</t>
  </si>
  <si>
    <t>G15</t>
  </si>
  <si>
    <t>G16</t>
  </si>
  <si>
    <t>Q22</t>
    <phoneticPr fontId="2"/>
  </si>
  <si>
    <t>Q23</t>
    <phoneticPr fontId="2"/>
  </si>
  <si>
    <t>北東面</t>
    <rPh sb="2" eb="3">
      <t>メン</t>
    </rPh>
    <phoneticPr fontId="2"/>
  </si>
  <si>
    <t>東面</t>
    <rPh sb="1" eb="2">
      <t>メン</t>
    </rPh>
    <phoneticPr fontId="2"/>
  </si>
  <si>
    <t>南東面</t>
    <rPh sb="2" eb="3">
      <t>メン</t>
    </rPh>
    <phoneticPr fontId="2"/>
  </si>
  <si>
    <t>南面</t>
    <rPh sb="1" eb="2">
      <t>メン</t>
    </rPh>
    <phoneticPr fontId="2"/>
  </si>
  <si>
    <t>南西面</t>
    <rPh sb="2" eb="3">
      <t>メン</t>
    </rPh>
    <phoneticPr fontId="2"/>
  </si>
  <si>
    <t>西面</t>
    <rPh sb="1" eb="2">
      <t>メン</t>
    </rPh>
    <phoneticPr fontId="2"/>
  </si>
  <si>
    <t>北西面</t>
    <rPh sb="2" eb="3">
      <t>メン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</si>
  <si>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＜北東面＞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</si>
  <si>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＜東面＞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</si>
  <si>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＜南東面＞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</si>
  <si>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＜南面＞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</si>
  <si>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＜南西面＞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</si>
  <si>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＜西面＞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2" eb="13">
      <t>メン</t>
    </rPh>
    <rPh sb="23" eb="25">
      <t>ニッシャ</t>
    </rPh>
    <rPh sb="25" eb="26">
      <t>ネツ</t>
    </rPh>
    <rPh sb="26" eb="28">
      <t>シュトク</t>
    </rPh>
    <rPh sb="28" eb="29">
      <t>リョウ</t>
    </rPh>
    <phoneticPr fontId="2"/>
  </si>
  <si>
    <r>
      <t>内訳計算シートＡ　　</t>
    </r>
    <r>
      <rPr>
        <b/>
        <sz val="12"/>
        <rFont val="HG丸ｺﾞｼｯｸM-PRO"/>
        <family val="3"/>
        <charset val="128"/>
      </rPr>
      <t>＜北西面＞</t>
    </r>
    <r>
      <rPr>
        <sz val="12"/>
        <rFont val="HG丸ｺﾞｼｯｸM-PRO"/>
        <family val="3"/>
        <charset val="128"/>
      </rPr>
      <t xml:space="preserve"> の外皮熱損失量と日射熱取得量</t>
    </r>
    <rPh sb="0" eb="2">
      <t>ウチワケ</t>
    </rPh>
    <rPh sb="2" eb="4">
      <t>ケイサン</t>
    </rPh>
    <rPh sb="13" eb="14">
      <t>メン</t>
    </rPh>
    <rPh sb="24" eb="26">
      <t>ニッシャ</t>
    </rPh>
    <rPh sb="26" eb="27">
      <t>ネツ</t>
    </rPh>
    <rPh sb="27" eb="29">
      <t>シュトク</t>
    </rPh>
    <rPh sb="29" eb="30">
      <t>リョウ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</si>
  <si>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</si>
  <si>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</si>
  <si>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</si>
  <si>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＜北東面＞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</si>
  <si>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＜北面＞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6" eb="7">
      <t>キタ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</si>
  <si>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</si>
  <si>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</si>
  <si>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</si>
  <si>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＜東面＞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</si>
  <si>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</si>
  <si>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</si>
  <si>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</si>
  <si>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＜南東面＞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</si>
  <si>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</si>
  <si>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</si>
  <si>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</si>
  <si>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＜南面＞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</si>
  <si>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</si>
  <si>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</si>
  <si>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</si>
  <si>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＜南西面＞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</si>
  <si>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4" eb="5">
      <t>メン</t>
    </rPh>
    <rPh sb="7" eb="8">
      <t>カク</t>
    </rPh>
    <rPh sb="8" eb="9">
      <t>アタイ</t>
    </rPh>
    <rPh sb="9" eb="11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</si>
  <si>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</si>
  <si>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</si>
  <si>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＜西面＞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7" eb="8">
      <t>メン</t>
    </rPh>
    <rPh sb="10" eb="12">
      <t>ケイサン</t>
    </rPh>
    <rPh sb="12" eb="14">
      <t>ケッカ</t>
    </rPh>
    <phoneticPr fontId="2"/>
  </si>
  <si>
    <r>
      <t xml:space="preserve">窓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各値合計</t>
    </r>
    <rPh sb="0" eb="1">
      <t>マド</t>
    </rPh>
    <rPh sb="5" eb="6">
      <t>メン</t>
    </rPh>
    <rPh sb="8" eb="9">
      <t>カク</t>
    </rPh>
    <rPh sb="9" eb="10">
      <t>アタイ</t>
    </rPh>
    <rPh sb="10" eb="12">
      <t>ゴウケイ</t>
    </rPh>
    <phoneticPr fontId="2"/>
  </si>
  <si>
    <r>
      <t xml:space="preserve">　ドア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各値合計</t>
    </r>
    <phoneticPr fontId="2"/>
  </si>
  <si>
    <r>
      <t xml:space="preserve">外壁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各値合計</t>
    </r>
    <rPh sb="0" eb="2">
      <t>ガイヘキ</t>
    </rPh>
    <phoneticPr fontId="2"/>
  </si>
  <si>
    <r>
      <t xml:space="preserve">4）住宅 </t>
    </r>
    <r>
      <rPr>
        <b/>
        <sz val="11"/>
        <rFont val="HG丸ｺﾞｼｯｸM-PRO"/>
        <family val="3"/>
        <charset val="128"/>
      </rPr>
      <t>＜北西面＞</t>
    </r>
    <r>
      <rPr>
        <sz val="11"/>
        <rFont val="HG丸ｺﾞｼｯｸM-PRO"/>
        <family val="3"/>
        <charset val="128"/>
      </rPr>
      <t xml:space="preserve"> 計算結果</t>
    </r>
    <rPh sb="2" eb="4">
      <t>ジュウタク</t>
    </rPh>
    <rPh sb="8" eb="9">
      <t>メン</t>
    </rPh>
    <rPh sb="11" eb="13">
      <t>ケイサン</t>
    </rPh>
    <rPh sb="13" eb="15">
      <t>ケッカ</t>
    </rPh>
    <phoneticPr fontId="2"/>
  </si>
  <si>
    <t>充填断熱＋付加断熱</t>
    <rPh sb="0" eb="2">
      <t>ジュウテン</t>
    </rPh>
    <rPh sb="2" eb="4">
      <t>ダンネツ</t>
    </rPh>
    <rPh sb="5" eb="7">
      <t>フカ</t>
    </rPh>
    <rPh sb="7" eb="9">
      <t>ダンネツ</t>
    </rPh>
    <phoneticPr fontId="2"/>
  </si>
  <si>
    <t>仕様番号</t>
    <phoneticPr fontId="2"/>
  </si>
  <si>
    <t>温度差係数</t>
    <rPh sb="0" eb="3">
      <t>オンドサ</t>
    </rPh>
    <rPh sb="3" eb="5">
      <t>ケイスウ</t>
    </rPh>
    <phoneticPr fontId="2"/>
  </si>
  <si>
    <t>方位係数</t>
    <rPh sb="0" eb="2">
      <t>ホウイ</t>
    </rPh>
    <rPh sb="2" eb="4">
      <t>ケイスウ</t>
    </rPh>
    <phoneticPr fontId="2"/>
  </si>
  <si>
    <t>日射の当たらない
基礎等</t>
    <rPh sb="0" eb="2">
      <t>ニッシャ</t>
    </rPh>
    <rPh sb="3" eb="4">
      <t>ア</t>
    </rPh>
    <rPh sb="9" eb="11">
      <t>キソ</t>
    </rPh>
    <rPh sb="11" eb="12">
      <t>トウ</t>
    </rPh>
    <phoneticPr fontId="2"/>
  </si>
  <si>
    <t>等級４</t>
    <rPh sb="0" eb="2">
      <t>トウキュウ</t>
    </rPh>
    <phoneticPr fontId="2"/>
  </si>
  <si>
    <t>等級３</t>
    <rPh sb="0" eb="2">
      <t>トウキュウ</t>
    </rPh>
    <phoneticPr fontId="2"/>
  </si>
  <si>
    <t>等級２</t>
    <rPh sb="0" eb="2">
      <t>トウキュウ</t>
    </rPh>
    <phoneticPr fontId="2"/>
  </si>
  <si>
    <t>ＵA</t>
    <phoneticPr fontId="2"/>
  </si>
  <si>
    <t>ηA</t>
    <phoneticPr fontId="2"/>
  </si>
  <si>
    <t>-</t>
    <phoneticPr fontId="2"/>
  </si>
  <si>
    <t>等級４</t>
    <phoneticPr fontId="2"/>
  </si>
  <si>
    <t>等級３</t>
    <phoneticPr fontId="2"/>
  </si>
  <si>
    <t>等級２</t>
    <phoneticPr fontId="2"/>
  </si>
  <si>
    <t>1）土間床等の面積の入力</t>
    <rPh sb="2" eb="4">
      <t>ドマ</t>
    </rPh>
    <rPh sb="4" eb="5">
      <t>ユカ</t>
    </rPh>
    <rPh sb="5" eb="6">
      <t>トウ</t>
    </rPh>
    <rPh sb="7" eb="9">
      <t>メンセキ</t>
    </rPh>
    <rPh sb="10" eb="12">
      <t>ニュウリョク</t>
    </rPh>
    <phoneticPr fontId="2"/>
  </si>
  <si>
    <t>※3）において温度差係数を分けて計算する場合、</t>
    <rPh sb="13" eb="14">
      <t>ワ</t>
    </rPh>
    <rPh sb="16" eb="18">
      <t>ケイサン</t>
    </rPh>
    <phoneticPr fontId="2"/>
  </si>
  <si>
    <t>2）基礎等の断面仕様の入力</t>
    <rPh sb="2" eb="5">
      <t>キソトウ</t>
    </rPh>
    <rPh sb="6" eb="8">
      <t>ダンメン</t>
    </rPh>
    <rPh sb="8" eb="10">
      <t>シヨウ</t>
    </rPh>
    <rPh sb="11" eb="13">
      <t>ニュウリョク</t>
    </rPh>
    <phoneticPr fontId="2"/>
  </si>
  <si>
    <t>W≦0.9</t>
    <phoneticPr fontId="2"/>
  </si>
  <si>
    <t>3）基礎等の外周長さの入力</t>
    <rPh sb="2" eb="5">
      <t>キソトウ</t>
    </rPh>
    <rPh sb="6" eb="8">
      <t>ガイシュウ</t>
    </rPh>
    <rPh sb="8" eb="9">
      <t>ナガ</t>
    </rPh>
    <rPh sb="11" eb="13">
      <t>ニュウリョク</t>
    </rPh>
    <phoneticPr fontId="2"/>
  </si>
  <si>
    <t>㎡）</t>
    <phoneticPr fontId="2"/>
  </si>
  <si>
    <r>
      <t xml:space="preserve">3）住宅 </t>
    </r>
    <r>
      <rPr>
        <b/>
        <sz val="12"/>
        <rFont val="HG丸ｺﾞｼｯｸM-PRO"/>
        <family val="3"/>
        <charset val="128"/>
      </rPr>
      <t>＜屋根・天井・床等＞</t>
    </r>
    <r>
      <rPr>
        <sz val="12"/>
        <rFont val="HG丸ｺﾞｼｯｸM-PRO"/>
        <family val="3"/>
        <charset val="128"/>
      </rPr>
      <t xml:space="preserve"> 計算結果</t>
    </r>
    <rPh sb="2" eb="4">
      <t>ジュウタク</t>
    </rPh>
    <rPh sb="12" eb="13">
      <t>ユカ</t>
    </rPh>
    <rPh sb="13" eb="14">
      <t>トウ</t>
    </rPh>
    <rPh sb="16" eb="18">
      <t>ケイサン</t>
    </rPh>
    <rPh sb="18" eb="20">
      <t>ケッカ</t>
    </rPh>
    <phoneticPr fontId="2"/>
  </si>
  <si>
    <t>W/K</t>
    <phoneticPr fontId="2"/>
  </si>
  <si>
    <t>除外窓
等面積</t>
    <rPh sb="0" eb="2">
      <t>ジョガイ</t>
    </rPh>
    <rPh sb="2" eb="3">
      <t>マド</t>
    </rPh>
    <rPh sb="4" eb="5">
      <t>ナド</t>
    </rPh>
    <rPh sb="5" eb="7">
      <t>メンセキ</t>
    </rPh>
    <phoneticPr fontId="2"/>
  </si>
  <si>
    <t>除外窓
等面積</t>
    <rPh sb="0" eb="2">
      <t>ジョガイ</t>
    </rPh>
    <rPh sb="2" eb="3">
      <t>マド</t>
    </rPh>
    <rPh sb="4" eb="5">
      <t>トウ</t>
    </rPh>
    <rPh sb="5" eb="7">
      <t>メンセキ</t>
    </rPh>
    <phoneticPr fontId="2"/>
  </si>
  <si>
    <t>　注２：Ｈ１の寸法（基礎高さ）は0.4ｍを上限とし、0.4ｍを超える場合は本計算書は使用できません。</t>
    <phoneticPr fontId="2"/>
  </si>
  <si>
    <t>　柱３：断熱仕様一覧シートに入力される熱貫流率については、断熱材のみの熱伝導率を元に簡略計算法②にて算出しています。</t>
    <rPh sb="35" eb="36">
      <t>ネツ</t>
    </rPh>
    <rPh sb="36" eb="39">
      <t>デンドウリツ</t>
    </rPh>
    <rPh sb="40" eb="41">
      <t>モト</t>
    </rPh>
    <rPh sb="42" eb="44">
      <t>カンリャク</t>
    </rPh>
    <rPh sb="44" eb="47">
      <t>ケイサンホウ</t>
    </rPh>
    <rPh sb="50" eb="52">
      <t>サンシュツ</t>
    </rPh>
    <phoneticPr fontId="2"/>
  </si>
  <si>
    <t>吹込み用グラスウール</t>
    <rPh sb="0" eb="1">
      <t>フ</t>
    </rPh>
    <rPh sb="1" eb="2">
      <t>コ</t>
    </rPh>
    <rPh sb="3" eb="4">
      <t>ヨウ</t>
    </rPh>
    <phoneticPr fontId="2"/>
  </si>
  <si>
    <t>13K</t>
    <phoneticPr fontId="2"/>
  </si>
  <si>
    <t>18K</t>
    <phoneticPr fontId="2"/>
  </si>
  <si>
    <t>熱伝導率（λ）</t>
    <rPh sb="0" eb="1">
      <t>ネツ</t>
    </rPh>
    <rPh sb="1" eb="4">
      <t>デンドウリツ</t>
    </rPh>
    <phoneticPr fontId="2"/>
  </si>
  <si>
    <t>30K</t>
    <phoneticPr fontId="2"/>
  </si>
  <si>
    <t>35K</t>
    <phoneticPr fontId="2"/>
  </si>
  <si>
    <t>吹込み用ロックウール断熱材</t>
    <rPh sb="0" eb="1">
      <t>フ</t>
    </rPh>
    <rPh sb="1" eb="2">
      <t>コ</t>
    </rPh>
    <rPh sb="3" eb="4">
      <t>ヨウ</t>
    </rPh>
    <rPh sb="10" eb="12">
      <t>ダンネツ</t>
    </rPh>
    <rPh sb="12" eb="13">
      <t>ザイ</t>
    </rPh>
    <phoneticPr fontId="2"/>
  </si>
  <si>
    <t>25K</t>
    <phoneticPr fontId="2"/>
  </si>
  <si>
    <t>65K</t>
    <phoneticPr fontId="2"/>
  </si>
  <si>
    <t>吹込み用セルローズファイバー</t>
    <rPh sb="0" eb="1">
      <t>フ</t>
    </rPh>
    <rPh sb="1" eb="2">
      <t>コ</t>
    </rPh>
    <rPh sb="3" eb="4">
      <t>ヨウ</t>
    </rPh>
    <phoneticPr fontId="2"/>
  </si>
  <si>
    <t>45K</t>
    <phoneticPr fontId="2"/>
  </si>
  <si>
    <t>55K</t>
    <phoneticPr fontId="2"/>
  </si>
  <si>
    <t>グラスウール断熱材</t>
    <rPh sb="6" eb="8">
      <t>ダンネツ</t>
    </rPh>
    <rPh sb="8" eb="9">
      <t>ザイ</t>
    </rPh>
    <phoneticPr fontId="2"/>
  </si>
  <si>
    <t>通常品10-50</t>
    <rPh sb="0" eb="2">
      <t>ツウジョウ</t>
    </rPh>
    <rPh sb="2" eb="3">
      <t>ヒン</t>
    </rPh>
    <phoneticPr fontId="2"/>
  </si>
  <si>
    <t>通常品10-49</t>
    <rPh sb="0" eb="2">
      <t>ツウジョウ</t>
    </rPh>
    <rPh sb="2" eb="3">
      <t>ヒン</t>
    </rPh>
    <phoneticPr fontId="2"/>
  </si>
  <si>
    <t>通常品10-48</t>
    <rPh sb="0" eb="2">
      <t>ツウジョウ</t>
    </rPh>
    <rPh sb="2" eb="3">
      <t>ヒン</t>
    </rPh>
    <phoneticPr fontId="2"/>
  </si>
  <si>
    <t>通常品12-45</t>
    <rPh sb="0" eb="2">
      <t>ツウジョウ</t>
    </rPh>
    <rPh sb="2" eb="3">
      <t>ヒン</t>
    </rPh>
    <phoneticPr fontId="2"/>
  </si>
  <si>
    <t>通常品12-44</t>
    <rPh sb="0" eb="2">
      <t>ツウジョウ</t>
    </rPh>
    <rPh sb="2" eb="3">
      <t>ヒン</t>
    </rPh>
    <phoneticPr fontId="2"/>
  </si>
  <si>
    <t>通常品16-45</t>
    <rPh sb="0" eb="2">
      <t>ツウジョウ</t>
    </rPh>
    <rPh sb="2" eb="3">
      <t>ヒン</t>
    </rPh>
    <phoneticPr fontId="2"/>
  </si>
  <si>
    <t>通常品16-44</t>
    <rPh sb="0" eb="2">
      <t>ツウジョウ</t>
    </rPh>
    <rPh sb="2" eb="3">
      <t>ヒン</t>
    </rPh>
    <phoneticPr fontId="2"/>
  </si>
  <si>
    <t>通常品20-42</t>
    <rPh sb="0" eb="2">
      <t>ツウジョウ</t>
    </rPh>
    <rPh sb="2" eb="3">
      <t>ヒン</t>
    </rPh>
    <phoneticPr fontId="2"/>
  </si>
  <si>
    <t>通常品20-41</t>
    <rPh sb="0" eb="2">
      <t>ツウジョウ</t>
    </rPh>
    <rPh sb="2" eb="3">
      <t>ヒン</t>
    </rPh>
    <phoneticPr fontId="2"/>
  </si>
  <si>
    <t>通常品20-40</t>
    <rPh sb="0" eb="2">
      <t>ツウジョウ</t>
    </rPh>
    <rPh sb="2" eb="3">
      <t>ヒン</t>
    </rPh>
    <phoneticPr fontId="2"/>
  </si>
  <si>
    <t>通常品24-38</t>
    <rPh sb="0" eb="2">
      <t>ツウジョウ</t>
    </rPh>
    <rPh sb="2" eb="3">
      <t>ヒン</t>
    </rPh>
    <phoneticPr fontId="2"/>
  </si>
  <si>
    <t>通常品32-36</t>
    <rPh sb="0" eb="2">
      <t>ツウジョウ</t>
    </rPh>
    <rPh sb="2" eb="3">
      <t>ヒン</t>
    </rPh>
    <phoneticPr fontId="2"/>
  </si>
  <si>
    <t>通常品40-36</t>
    <rPh sb="0" eb="2">
      <t>ツウジョウ</t>
    </rPh>
    <rPh sb="2" eb="3">
      <t>ヒン</t>
    </rPh>
    <phoneticPr fontId="2"/>
  </si>
  <si>
    <t>通常品48-35</t>
    <rPh sb="0" eb="2">
      <t>ツウジョウ</t>
    </rPh>
    <rPh sb="2" eb="3">
      <t>ヒン</t>
    </rPh>
    <phoneticPr fontId="2"/>
  </si>
  <si>
    <t>通常品64-35</t>
    <rPh sb="0" eb="2">
      <t>ツウジョウ</t>
    </rPh>
    <rPh sb="2" eb="3">
      <t>ヒン</t>
    </rPh>
    <phoneticPr fontId="2"/>
  </si>
  <si>
    <t>通常品80-33</t>
    <rPh sb="0" eb="2">
      <t>ツウジョウ</t>
    </rPh>
    <rPh sb="2" eb="3">
      <t>ヒン</t>
    </rPh>
    <phoneticPr fontId="2"/>
  </si>
  <si>
    <t>通常品96-33</t>
    <rPh sb="0" eb="2">
      <t>ツウジョウ</t>
    </rPh>
    <rPh sb="2" eb="3">
      <t>ヒン</t>
    </rPh>
    <phoneticPr fontId="2"/>
  </si>
  <si>
    <t>高性能品HG10-47</t>
  </si>
  <si>
    <t>高性能品HG10-46</t>
  </si>
  <si>
    <t>高性能品HG10-45</t>
  </si>
  <si>
    <t>高性能品HG10-44</t>
  </si>
  <si>
    <t>高性能品HG10-43</t>
  </si>
  <si>
    <t>高性能品HG12-43</t>
  </si>
  <si>
    <t>高性能品HG12-42</t>
  </si>
  <si>
    <t>高性能品HG12-41</t>
  </si>
  <si>
    <t>高性能品HG14-38</t>
  </si>
  <si>
    <t>高性能品HG14-37</t>
  </si>
  <si>
    <t>高性能品HG16-38</t>
  </si>
  <si>
    <t>高性能品HG16-37</t>
  </si>
  <si>
    <t>高性能品HG16-36</t>
  </si>
  <si>
    <t>高性能品HG20-38</t>
  </si>
  <si>
    <t>高性能品HG20-37</t>
  </si>
  <si>
    <t>高性能品HG20-36</t>
  </si>
  <si>
    <t>高性能品HG20-35</t>
  </si>
  <si>
    <t>高性能品HG20-34</t>
  </si>
  <si>
    <t>高性能品HG24-36</t>
  </si>
  <si>
    <t>高性能品HG24-35</t>
  </si>
  <si>
    <t>高性能品HG24-34</t>
  </si>
  <si>
    <t>高性能品HG24-33</t>
  </si>
  <si>
    <t>高性能品HG28-35</t>
  </si>
  <si>
    <t>高性能品HG28-34</t>
  </si>
  <si>
    <t>高性能品HG28-33</t>
  </si>
  <si>
    <t>高性能品HG32-35</t>
  </si>
  <si>
    <t>高性能品HG32-34</t>
  </si>
  <si>
    <t>高性能品HG32-33</t>
  </si>
  <si>
    <t>高性能品HG36-34</t>
  </si>
  <si>
    <t>高性能品HG36-33</t>
  </si>
  <si>
    <t>高性能品HG36-32</t>
  </si>
  <si>
    <t>高性能品HG36-31</t>
  </si>
  <si>
    <t>高性能品HG38-34</t>
  </si>
  <si>
    <t>高性能品HG38-33</t>
  </si>
  <si>
    <t>高性能品HG38-32</t>
  </si>
  <si>
    <t>高性能品HG38-31</t>
  </si>
  <si>
    <t>高性能品HG40-34</t>
  </si>
  <si>
    <t>高性能品HG40-33</t>
  </si>
  <si>
    <t>高性能品HG40-32</t>
  </si>
  <si>
    <t>高性能品HG48-33</t>
  </si>
  <si>
    <t>高性能品HG48-32</t>
  </si>
  <si>
    <t>高性能品HG48-31</t>
  </si>
  <si>
    <t>ロックウール断熱材</t>
    <rPh sb="6" eb="8">
      <t>ダンネツ</t>
    </rPh>
    <rPh sb="8" eb="9">
      <t>ザイ</t>
    </rPh>
    <phoneticPr fontId="2"/>
  </si>
  <si>
    <t>LA</t>
    <phoneticPr fontId="2"/>
  </si>
  <si>
    <t>LB</t>
    <phoneticPr fontId="2"/>
  </si>
  <si>
    <t>LC</t>
    <phoneticPr fontId="2"/>
  </si>
  <si>
    <t>LD</t>
    <phoneticPr fontId="2"/>
  </si>
  <si>
    <t>MA</t>
    <phoneticPr fontId="2"/>
  </si>
  <si>
    <t>MB</t>
    <phoneticPr fontId="2"/>
  </si>
  <si>
    <t>MC</t>
    <phoneticPr fontId="2"/>
  </si>
  <si>
    <t>HA</t>
    <phoneticPr fontId="2"/>
  </si>
  <si>
    <t>HB</t>
    <phoneticPr fontId="2"/>
  </si>
  <si>
    <t>HC</t>
    <phoneticPr fontId="2"/>
  </si>
  <si>
    <t>インシュレーションファイバー断熱材</t>
    <rPh sb="14" eb="16">
      <t>ダンネツ</t>
    </rPh>
    <rPh sb="16" eb="17">
      <t>ザイ</t>
    </rPh>
    <phoneticPr fontId="2"/>
  </si>
  <si>
    <t>ファイバーマット</t>
    <phoneticPr fontId="2"/>
  </si>
  <si>
    <t>ファイバーボード</t>
    <phoneticPr fontId="2"/>
  </si>
  <si>
    <t>ビーズ法ポリスチレンフォーム断熱材</t>
    <rPh sb="3" eb="4">
      <t>ホウ</t>
    </rPh>
    <rPh sb="14" eb="16">
      <t>ダンネツ</t>
    </rPh>
    <rPh sb="16" eb="17">
      <t>ザイ</t>
    </rPh>
    <phoneticPr fontId="2"/>
  </si>
  <si>
    <t>1種 b A</t>
    <rPh sb="1" eb="2">
      <t>シュ</t>
    </rPh>
    <phoneticPr fontId="2"/>
  </si>
  <si>
    <t>1種 b B</t>
    <rPh sb="1" eb="2">
      <t>シュ</t>
    </rPh>
    <phoneticPr fontId="2"/>
  </si>
  <si>
    <t>1種 b C</t>
    <rPh sb="1" eb="2">
      <t>シュ</t>
    </rPh>
    <phoneticPr fontId="2"/>
  </si>
  <si>
    <t>2種 b A</t>
    <rPh sb="1" eb="2">
      <t>シュ</t>
    </rPh>
    <phoneticPr fontId="2"/>
  </si>
  <si>
    <t>2種 b B</t>
    <rPh sb="1" eb="2">
      <t>シュ</t>
    </rPh>
    <phoneticPr fontId="2"/>
  </si>
  <si>
    <t>2種 b C</t>
    <rPh sb="1" eb="2">
      <t>シュ</t>
    </rPh>
    <phoneticPr fontId="2"/>
  </si>
  <si>
    <t>3種 b A</t>
    <rPh sb="1" eb="2">
      <t>シュ</t>
    </rPh>
    <phoneticPr fontId="2"/>
  </si>
  <si>
    <t>3種 b B</t>
    <rPh sb="1" eb="2">
      <t>シュ</t>
    </rPh>
    <phoneticPr fontId="2"/>
  </si>
  <si>
    <t>3種 b C</t>
    <rPh sb="1" eb="2">
      <t>シュ</t>
    </rPh>
    <phoneticPr fontId="2"/>
  </si>
  <si>
    <t>3種 b D</t>
    <rPh sb="1" eb="2">
      <t>シュ</t>
    </rPh>
    <phoneticPr fontId="2"/>
  </si>
  <si>
    <t>3種 a A</t>
    <rPh sb="1" eb="2">
      <t>シュ</t>
    </rPh>
    <phoneticPr fontId="2"/>
  </si>
  <si>
    <t>3種 a B</t>
    <rPh sb="1" eb="2">
      <t>シュ</t>
    </rPh>
    <phoneticPr fontId="2"/>
  </si>
  <si>
    <t>3種 a C</t>
    <rPh sb="1" eb="2">
      <t>シュ</t>
    </rPh>
    <phoneticPr fontId="2"/>
  </si>
  <si>
    <t>3種 a D</t>
    <rPh sb="1" eb="2">
      <t>シュ</t>
    </rPh>
    <phoneticPr fontId="2"/>
  </si>
  <si>
    <t>1号</t>
    <rPh sb="1" eb="2">
      <t>ゴウ</t>
    </rPh>
    <phoneticPr fontId="2"/>
  </si>
  <si>
    <t>2号</t>
    <rPh sb="1" eb="2">
      <t>ゴウ</t>
    </rPh>
    <phoneticPr fontId="2"/>
  </si>
  <si>
    <t>3号</t>
    <rPh sb="1" eb="2">
      <t>ゴウ</t>
    </rPh>
    <phoneticPr fontId="2"/>
  </si>
  <si>
    <t>4号</t>
    <rPh sb="1" eb="2">
      <t>ゴウ</t>
    </rPh>
    <phoneticPr fontId="2"/>
  </si>
  <si>
    <t>押出法ポリスチレンフォーム断熱材</t>
    <rPh sb="0" eb="1">
      <t>オ</t>
    </rPh>
    <rPh sb="1" eb="2">
      <t>ダ</t>
    </rPh>
    <rPh sb="2" eb="3">
      <t>ホウ</t>
    </rPh>
    <rPh sb="13" eb="15">
      <t>ダンネツ</t>
    </rPh>
    <rPh sb="15" eb="16">
      <t>ザイ</t>
    </rPh>
    <phoneticPr fontId="2"/>
  </si>
  <si>
    <t>硬質ウレタンフォーム断熱材</t>
    <rPh sb="0" eb="2">
      <t>コウシツ</t>
    </rPh>
    <rPh sb="10" eb="12">
      <t>ダンネツ</t>
    </rPh>
    <rPh sb="12" eb="13">
      <t>ザイ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</si>
  <si>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</si>
  <si>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</si>
  <si>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2種 1号</t>
    <rPh sb="1" eb="2">
      <t>シュ</t>
    </rPh>
    <rPh sb="4" eb="5">
      <t>ゴウ</t>
    </rPh>
    <phoneticPr fontId="2"/>
  </si>
  <si>
    <t>2種 2号</t>
    <rPh sb="1" eb="2">
      <t>シュ</t>
    </rPh>
    <rPh sb="4" eb="5">
      <t>ゴウ</t>
    </rPh>
    <phoneticPr fontId="2"/>
  </si>
  <si>
    <t>2種 3号</t>
    <rPh sb="1" eb="2">
      <t>シュ</t>
    </rPh>
    <rPh sb="4" eb="5">
      <t>ゴウ</t>
    </rPh>
    <phoneticPr fontId="2"/>
  </si>
  <si>
    <t>2種 4号</t>
    <rPh sb="1" eb="2">
      <t>シュ</t>
    </rPh>
    <rPh sb="4" eb="5">
      <t>ゴウ</t>
    </rPh>
    <phoneticPr fontId="2"/>
  </si>
  <si>
    <t>ポリエチレンフォーム断熱材</t>
    <rPh sb="10" eb="12">
      <t>ダンネツ</t>
    </rPh>
    <rPh sb="12" eb="13">
      <t>ザイ</t>
    </rPh>
    <phoneticPr fontId="2"/>
  </si>
  <si>
    <t>1種 1号</t>
    <rPh sb="1" eb="2">
      <t>シュ</t>
    </rPh>
    <rPh sb="4" eb="5">
      <t>ゴウ</t>
    </rPh>
    <phoneticPr fontId="2"/>
  </si>
  <si>
    <t>1種 2号</t>
    <rPh sb="1" eb="2">
      <t>シュ</t>
    </rPh>
    <rPh sb="4" eb="5">
      <t>ゴウ</t>
    </rPh>
    <phoneticPr fontId="2"/>
  </si>
  <si>
    <t>3種</t>
    <rPh sb="1" eb="2">
      <t>シュ</t>
    </rPh>
    <phoneticPr fontId="2"/>
  </si>
  <si>
    <t>フェノールフォーム断熱材</t>
    <rPh sb="9" eb="11">
      <t>ダンネツ</t>
    </rPh>
    <rPh sb="11" eb="12">
      <t>ザイ</t>
    </rPh>
    <phoneticPr fontId="2"/>
  </si>
  <si>
    <t>1種 1号 AⅠ</t>
    <rPh sb="1" eb="2">
      <t>シュ</t>
    </rPh>
    <rPh sb="4" eb="5">
      <t>ゴウ</t>
    </rPh>
    <phoneticPr fontId="2"/>
  </si>
  <si>
    <t>1種 1号 AⅡ</t>
    <rPh sb="1" eb="2">
      <t>シュ</t>
    </rPh>
    <rPh sb="4" eb="5">
      <t>ゴウ</t>
    </rPh>
    <phoneticPr fontId="2"/>
  </si>
  <si>
    <t>1種 1号 BⅠ</t>
    <rPh sb="1" eb="2">
      <t>シュ</t>
    </rPh>
    <rPh sb="4" eb="5">
      <t>ゴウ</t>
    </rPh>
    <phoneticPr fontId="2"/>
  </si>
  <si>
    <t>1種 1号 BⅡ</t>
    <rPh sb="1" eb="2">
      <t>シュ</t>
    </rPh>
    <rPh sb="4" eb="5">
      <t>ゴウ</t>
    </rPh>
    <phoneticPr fontId="2"/>
  </si>
  <si>
    <t>1種 1号 CⅠ</t>
    <rPh sb="1" eb="2">
      <t>シュ</t>
    </rPh>
    <rPh sb="4" eb="5">
      <t>ゴウ</t>
    </rPh>
    <phoneticPr fontId="2"/>
  </si>
  <si>
    <t>1種 1号 CⅡ</t>
    <rPh sb="1" eb="2">
      <t>シュ</t>
    </rPh>
    <rPh sb="4" eb="5">
      <t>ゴウ</t>
    </rPh>
    <phoneticPr fontId="2"/>
  </si>
  <si>
    <t>1種 1号 DⅠ</t>
    <rPh sb="1" eb="2">
      <t>シュ</t>
    </rPh>
    <rPh sb="4" eb="5">
      <t>ゴウ</t>
    </rPh>
    <phoneticPr fontId="2"/>
  </si>
  <si>
    <t>1種 1号 DⅡ</t>
    <rPh sb="1" eb="2">
      <t>シュ</t>
    </rPh>
    <rPh sb="4" eb="5">
      <t>ゴウ</t>
    </rPh>
    <phoneticPr fontId="2"/>
  </si>
  <si>
    <t>1種 1号 EⅠ</t>
    <rPh sb="1" eb="2">
      <t>シュ</t>
    </rPh>
    <rPh sb="4" eb="5">
      <t>ゴウ</t>
    </rPh>
    <phoneticPr fontId="2"/>
  </si>
  <si>
    <t>1種 1号 EⅡ</t>
    <rPh sb="1" eb="2">
      <t>シュ</t>
    </rPh>
    <rPh sb="4" eb="5">
      <t>ゴウ</t>
    </rPh>
    <phoneticPr fontId="2"/>
  </si>
  <si>
    <t>1種 2号 AⅠ</t>
    <rPh sb="1" eb="2">
      <t>シュ</t>
    </rPh>
    <rPh sb="4" eb="5">
      <t>ゴウ</t>
    </rPh>
    <phoneticPr fontId="2"/>
  </si>
  <si>
    <t>1種 2号 AⅡ</t>
    <rPh sb="1" eb="2">
      <t>シュ</t>
    </rPh>
    <rPh sb="4" eb="5">
      <t>ゴウ</t>
    </rPh>
    <phoneticPr fontId="2"/>
  </si>
  <si>
    <t>1種 2号 BⅠ</t>
    <rPh sb="1" eb="2">
      <t>シュ</t>
    </rPh>
    <rPh sb="4" eb="5">
      <t>ゴウ</t>
    </rPh>
    <phoneticPr fontId="2"/>
  </si>
  <si>
    <t>1種 2号 BⅡ</t>
    <rPh sb="1" eb="2">
      <t>シュ</t>
    </rPh>
    <rPh sb="4" eb="5">
      <t>ゴウ</t>
    </rPh>
    <phoneticPr fontId="2"/>
  </si>
  <si>
    <t>1種 2号 CⅠ</t>
    <rPh sb="1" eb="2">
      <t>シュ</t>
    </rPh>
    <rPh sb="4" eb="5">
      <t>ゴウ</t>
    </rPh>
    <phoneticPr fontId="2"/>
  </si>
  <si>
    <t>1種 2号 CⅡ</t>
    <rPh sb="1" eb="2">
      <t>シュ</t>
    </rPh>
    <rPh sb="4" eb="5">
      <t>ゴウ</t>
    </rPh>
    <phoneticPr fontId="2"/>
  </si>
  <si>
    <t>1種 2号 DⅠ</t>
    <rPh sb="1" eb="2">
      <t>シュ</t>
    </rPh>
    <rPh sb="4" eb="5">
      <t>ゴウ</t>
    </rPh>
    <phoneticPr fontId="2"/>
  </si>
  <si>
    <t>1種 2号 DⅡ</t>
    <rPh sb="1" eb="2">
      <t>シュ</t>
    </rPh>
    <rPh sb="4" eb="5">
      <t>ゴウ</t>
    </rPh>
    <phoneticPr fontId="2"/>
  </si>
  <si>
    <t>1種 2号 EⅠ</t>
    <rPh sb="1" eb="2">
      <t>シュ</t>
    </rPh>
    <rPh sb="4" eb="5">
      <t>ゴウ</t>
    </rPh>
    <phoneticPr fontId="2"/>
  </si>
  <si>
    <t>1種 2号 EⅡ</t>
    <rPh sb="1" eb="2">
      <t>シュ</t>
    </rPh>
    <rPh sb="4" eb="5">
      <t>ゴウ</t>
    </rPh>
    <phoneticPr fontId="2"/>
  </si>
  <si>
    <t>1種 3号 AⅠ</t>
    <rPh sb="1" eb="2">
      <t>シュ</t>
    </rPh>
    <rPh sb="4" eb="5">
      <t>ゴウ</t>
    </rPh>
    <phoneticPr fontId="2"/>
  </si>
  <si>
    <t>1種 3号 AⅡ</t>
    <rPh sb="1" eb="2">
      <t>シュ</t>
    </rPh>
    <rPh sb="4" eb="5">
      <t>ゴウ</t>
    </rPh>
    <phoneticPr fontId="2"/>
  </si>
  <si>
    <t>1種 3号 BⅠ</t>
    <rPh sb="1" eb="2">
      <t>シュ</t>
    </rPh>
    <rPh sb="4" eb="5">
      <t>ゴウ</t>
    </rPh>
    <phoneticPr fontId="2"/>
  </si>
  <si>
    <t>1種 3号 BⅡ</t>
    <rPh sb="1" eb="2">
      <t>シュ</t>
    </rPh>
    <rPh sb="4" eb="5">
      <t>ゴウ</t>
    </rPh>
    <phoneticPr fontId="2"/>
  </si>
  <si>
    <t>1種 3号 CⅠ</t>
    <rPh sb="1" eb="2">
      <t>シュ</t>
    </rPh>
    <rPh sb="4" eb="5">
      <t>ゴウ</t>
    </rPh>
    <phoneticPr fontId="2"/>
  </si>
  <si>
    <t>1種 3号 CⅡ</t>
    <rPh sb="1" eb="2">
      <t>シュ</t>
    </rPh>
    <rPh sb="4" eb="5">
      <t>ゴウ</t>
    </rPh>
    <phoneticPr fontId="2"/>
  </si>
  <si>
    <t>1種 3号 DⅠ</t>
    <rPh sb="1" eb="2">
      <t>シュ</t>
    </rPh>
    <rPh sb="4" eb="5">
      <t>ゴウ</t>
    </rPh>
    <phoneticPr fontId="2"/>
  </si>
  <si>
    <t>1種 3号 DⅡ</t>
    <rPh sb="1" eb="2">
      <t>シュ</t>
    </rPh>
    <rPh sb="4" eb="5">
      <t>ゴウ</t>
    </rPh>
    <phoneticPr fontId="2"/>
  </si>
  <si>
    <t>1種 3号 EⅠ</t>
    <rPh sb="1" eb="2">
      <t>シュ</t>
    </rPh>
    <rPh sb="4" eb="5">
      <t>ゴウ</t>
    </rPh>
    <phoneticPr fontId="2"/>
  </si>
  <si>
    <t>1種 3号 EⅡ</t>
    <rPh sb="1" eb="2">
      <t>シュ</t>
    </rPh>
    <rPh sb="4" eb="5">
      <t>ゴウ</t>
    </rPh>
    <phoneticPr fontId="2"/>
  </si>
  <si>
    <t>2種 1号 AⅠ</t>
    <rPh sb="1" eb="2">
      <t>シュ</t>
    </rPh>
    <rPh sb="4" eb="5">
      <t>ゴウ</t>
    </rPh>
    <phoneticPr fontId="2"/>
  </si>
  <si>
    <t>2種 1号 AⅡ</t>
    <rPh sb="1" eb="2">
      <t>シュ</t>
    </rPh>
    <rPh sb="4" eb="5">
      <t>ゴウ</t>
    </rPh>
    <phoneticPr fontId="2"/>
  </si>
  <si>
    <t>2種 2号 AⅠ</t>
    <rPh sb="1" eb="2">
      <t>シュ</t>
    </rPh>
    <rPh sb="4" eb="5">
      <t>ゴウ</t>
    </rPh>
    <phoneticPr fontId="2"/>
  </si>
  <si>
    <t>2種 2号 AⅡ</t>
    <rPh sb="1" eb="2">
      <t>シュ</t>
    </rPh>
    <rPh sb="4" eb="5">
      <t>ゴウ</t>
    </rPh>
    <phoneticPr fontId="2"/>
  </si>
  <si>
    <t>2種 3号 AⅠ</t>
    <rPh sb="1" eb="2">
      <t>シュ</t>
    </rPh>
    <rPh sb="4" eb="5">
      <t>ゴウ</t>
    </rPh>
    <phoneticPr fontId="2"/>
  </si>
  <si>
    <t>2種 3号 AⅡ</t>
    <rPh sb="1" eb="2">
      <t>シュ</t>
    </rPh>
    <rPh sb="4" eb="5">
      <t>ゴウ</t>
    </rPh>
    <phoneticPr fontId="2"/>
  </si>
  <si>
    <t>3種 1号 AⅠ</t>
    <rPh sb="1" eb="2">
      <t>シュ</t>
    </rPh>
    <rPh sb="4" eb="5">
      <t>ゴウ</t>
    </rPh>
    <phoneticPr fontId="2"/>
  </si>
  <si>
    <t>3種 1号 AⅡ</t>
    <rPh sb="1" eb="2">
      <t>シュ</t>
    </rPh>
    <rPh sb="4" eb="5">
      <t>ゴウ</t>
    </rPh>
    <phoneticPr fontId="2"/>
  </si>
  <si>
    <t>吹付け硬質ウレタンフォーム断熱材</t>
    <rPh sb="0" eb="2">
      <t>フキツ</t>
    </rPh>
    <rPh sb="3" eb="5">
      <t>コウシツ</t>
    </rPh>
    <rPh sb="13" eb="15">
      <t>ダンネツ</t>
    </rPh>
    <rPh sb="15" eb="16">
      <t>ザイ</t>
    </rPh>
    <phoneticPr fontId="2"/>
  </si>
  <si>
    <t>A種 1</t>
    <rPh sb="1" eb="2">
      <t>シュ</t>
    </rPh>
    <phoneticPr fontId="2"/>
  </si>
  <si>
    <t>A種 2</t>
    <rPh sb="1" eb="2">
      <t>シュ</t>
    </rPh>
    <phoneticPr fontId="2"/>
  </si>
  <si>
    <t>A種 3</t>
    <rPh sb="1" eb="2">
      <t>シュ</t>
    </rPh>
    <phoneticPr fontId="2"/>
  </si>
  <si>
    <t>断熱材の種類</t>
    <rPh sb="0" eb="2">
      <t>ダンネツ</t>
    </rPh>
    <rPh sb="2" eb="3">
      <t>ザイ</t>
    </rPh>
    <rPh sb="4" eb="6">
      <t>シュルイ</t>
    </rPh>
    <phoneticPr fontId="2"/>
  </si>
  <si>
    <t>吹込み用グラスウール 13K</t>
    <phoneticPr fontId="2"/>
  </si>
  <si>
    <t>吹込み用グラスウール 18K</t>
    <phoneticPr fontId="2"/>
  </si>
  <si>
    <t>吹込み用グラスウール 30K</t>
    <phoneticPr fontId="2"/>
  </si>
  <si>
    <t>吹込み用グラスウール 35K</t>
    <phoneticPr fontId="2"/>
  </si>
  <si>
    <t>吹込み用ロックウール断熱材 25K</t>
    <phoneticPr fontId="2"/>
  </si>
  <si>
    <t>吹込み用ロックウール断熱材 65K</t>
    <phoneticPr fontId="2"/>
  </si>
  <si>
    <t>吹込み用セルローズファイバー 25K</t>
    <phoneticPr fontId="2"/>
  </si>
  <si>
    <t>吹込み用セルローズファイバー 45K</t>
    <phoneticPr fontId="2"/>
  </si>
  <si>
    <t>吹込み用セルローズファイバー 55K</t>
    <phoneticPr fontId="2"/>
  </si>
  <si>
    <t>グラスウール断熱材 通常品10-50</t>
    <rPh sb="10" eb="12">
      <t>ツウジョウ</t>
    </rPh>
    <rPh sb="12" eb="13">
      <t>ヒン</t>
    </rPh>
    <phoneticPr fontId="2"/>
  </si>
  <si>
    <t>グラスウール断熱材 通常品10-49</t>
    <rPh sb="10" eb="12">
      <t>ツウジョウ</t>
    </rPh>
    <rPh sb="12" eb="13">
      <t>ヒン</t>
    </rPh>
    <phoneticPr fontId="2"/>
  </si>
  <si>
    <t>グラスウール断熱材 通常品10-48</t>
    <rPh sb="10" eb="12">
      <t>ツウジョウ</t>
    </rPh>
    <rPh sb="12" eb="13">
      <t>ヒン</t>
    </rPh>
    <phoneticPr fontId="2"/>
  </si>
  <si>
    <t>グラスウール断熱材 通常品12-45</t>
    <rPh sb="10" eb="12">
      <t>ツウジョウ</t>
    </rPh>
    <rPh sb="12" eb="13">
      <t>ヒン</t>
    </rPh>
    <phoneticPr fontId="2"/>
  </si>
  <si>
    <t>グラスウール断熱材 通常品12-44</t>
    <rPh sb="10" eb="12">
      <t>ツウジョウ</t>
    </rPh>
    <rPh sb="12" eb="13">
      <t>ヒン</t>
    </rPh>
    <phoneticPr fontId="2"/>
  </si>
  <si>
    <t>グラスウール断熱材 通常品16-45</t>
    <rPh sb="10" eb="12">
      <t>ツウジョウ</t>
    </rPh>
    <rPh sb="12" eb="13">
      <t>ヒン</t>
    </rPh>
    <phoneticPr fontId="2"/>
  </si>
  <si>
    <t>グラスウール断熱材 通常品16-44</t>
    <rPh sb="10" eb="12">
      <t>ツウジョウ</t>
    </rPh>
    <rPh sb="12" eb="13">
      <t>ヒン</t>
    </rPh>
    <phoneticPr fontId="2"/>
  </si>
  <si>
    <t>グラスウール断熱材 通常品20-42</t>
    <rPh sb="10" eb="12">
      <t>ツウジョウ</t>
    </rPh>
    <rPh sb="12" eb="13">
      <t>ヒン</t>
    </rPh>
    <phoneticPr fontId="2"/>
  </si>
  <si>
    <t>グラスウール断熱材 通常品20-41</t>
    <rPh sb="10" eb="12">
      <t>ツウジョウ</t>
    </rPh>
    <rPh sb="12" eb="13">
      <t>ヒン</t>
    </rPh>
    <phoneticPr fontId="2"/>
  </si>
  <si>
    <t>グラスウール断熱材 通常品20-40</t>
    <rPh sb="10" eb="12">
      <t>ツウジョウ</t>
    </rPh>
    <rPh sb="12" eb="13">
      <t>ヒン</t>
    </rPh>
    <phoneticPr fontId="2"/>
  </si>
  <si>
    <t>グラスウール断熱材 通常品24-38</t>
    <rPh sb="10" eb="12">
      <t>ツウジョウ</t>
    </rPh>
    <rPh sb="12" eb="13">
      <t>ヒン</t>
    </rPh>
    <phoneticPr fontId="2"/>
  </si>
  <si>
    <t>グラスウール断熱材 通常品32-36</t>
    <rPh sb="10" eb="12">
      <t>ツウジョウ</t>
    </rPh>
    <rPh sb="12" eb="13">
      <t>ヒン</t>
    </rPh>
    <phoneticPr fontId="2"/>
  </si>
  <si>
    <t>グラスウール断熱材 通常品40-36</t>
    <rPh sb="10" eb="12">
      <t>ツウジョウ</t>
    </rPh>
    <rPh sb="12" eb="13">
      <t>ヒン</t>
    </rPh>
    <phoneticPr fontId="2"/>
  </si>
  <si>
    <t>グラスウール断熱材 通常品48-35</t>
    <rPh sb="10" eb="12">
      <t>ツウジョウ</t>
    </rPh>
    <rPh sb="12" eb="13">
      <t>ヒン</t>
    </rPh>
    <phoneticPr fontId="2"/>
  </si>
  <si>
    <t>グラスウール断熱材 通常品64-35</t>
    <rPh sb="10" eb="12">
      <t>ツウジョウ</t>
    </rPh>
    <rPh sb="12" eb="13">
      <t>ヒン</t>
    </rPh>
    <phoneticPr fontId="2"/>
  </si>
  <si>
    <t>グラスウール断熱材 通常品80-33</t>
    <rPh sb="10" eb="12">
      <t>ツウジョウ</t>
    </rPh>
    <rPh sb="12" eb="13">
      <t>ヒン</t>
    </rPh>
    <phoneticPr fontId="2"/>
  </si>
  <si>
    <t>グラスウール断熱材 通常品96-33</t>
    <rPh sb="10" eb="12">
      <t>ツウジョウ</t>
    </rPh>
    <rPh sb="12" eb="13">
      <t>ヒン</t>
    </rPh>
    <phoneticPr fontId="2"/>
  </si>
  <si>
    <t>グラスウール断熱材 高性能品HG10-47</t>
    <phoneticPr fontId="2"/>
  </si>
  <si>
    <t>グラスウール断熱材 高性能品HG10-46</t>
    <phoneticPr fontId="2"/>
  </si>
  <si>
    <t>グラスウール断熱材 高性能品HG10-45</t>
    <phoneticPr fontId="2"/>
  </si>
  <si>
    <t>グラスウール断熱材 高性能品HG10-44</t>
    <phoneticPr fontId="2"/>
  </si>
  <si>
    <t>グラスウール断熱材 高性能品HG10-43</t>
    <phoneticPr fontId="2"/>
  </si>
  <si>
    <t>グラスウール断熱材 高性能品HG12-43</t>
    <phoneticPr fontId="2"/>
  </si>
  <si>
    <t>グラスウール断熱材 高性能品HG12-42</t>
    <phoneticPr fontId="2"/>
  </si>
  <si>
    <t>グラスウール断熱材 高性能品HG12-41</t>
    <phoneticPr fontId="2"/>
  </si>
  <si>
    <t>グラスウール断熱材 高性能品HG14-38</t>
    <phoneticPr fontId="2"/>
  </si>
  <si>
    <t>グラスウール断熱材 高性能品HG14-37</t>
    <phoneticPr fontId="2"/>
  </si>
  <si>
    <t>グラスウール断熱材 高性能品HG16-38</t>
    <phoneticPr fontId="2"/>
  </si>
  <si>
    <t>グラスウール断熱材 高性能品HG16-37</t>
    <phoneticPr fontId="2"/>
  </si>
  <si>
    <t>グラスウール断熱材 高性能品HG16-36</t>
    <phoneticPr fontId="2"/>
  </si>
  <si>
    <t>グラスウール断熱材 高性能品HG20-38</t>
    <phoneticPr fontId="2"/>
  </si>
  <si>
    <t>グラスウール断熱材 高性能品HG20-37</t>
    <phoneticPr fontId="2"/>
  </si>
  <si>
    <t>グラスウール断熱材 高性能品HG20-36</t>
    <phoneticPr fontId="2"/>
  </si>
  <si>
    <t>グラスウール断熱材 高性能品HG20-35</t>
    <phoneticPr fontId="2"/>
  </si>
  <si>
    <t>グラスウール断熱材 高性能品HG20-34</t>
    <phoneticPr fontId="2"/>
  </si>
  <si>
    <t>グラスウール断熱材 高性能品HG24-36</t>
    <phoneticPr fontId="2"/>
  </si>
  <si>
    <t>グラスウール断熱材 高性能品HG24-35</t>
    <phoneticPr fontId="2"/>
  </si>
  <si>
    <t>グラスウール断熱材 高性能品HG24-34</t>
    <phoneticPr fontId="2"/>
  </si>
  <si>
    <t>グラスウール断熱材 高性能品HG24-33</t>
    <phoneticPr fontId="2"/>
  </si>
  <si>
    <t>グラスウール断熱材 高性能品HG28-35</t>
    <phoneticPr fontId="2"/>
  </si>
  <si>
    <t>グラスウール断熱材 高性能品HG28-34</t>
    <phoneticPr fontId="2"/>
  </si>
  <si>
    <t>グラスウール断熱材 高性能品HG28-33</t>
    <phoneticPr fontId="2"/>
  </si>
  <si>
    <t>グラスウール断熱材 高性能品HG32-35</t>
    <phoneticPr fontId="2"/>
  </si>
  <si>
    <t>グラスウール断熱材 高性能品HG32-34</t>
    <phoneticPr fontId="2"/>
  </si>
  <si>
    <t>グラスウール断熱材 高性能品HG32-33</t>
    <phoneticPr fontId="2"/>
  </si>
  <si>
    <t>グラスウール断熱材 高性能品HG36-34</t>
    <phoneticPr fontId="2"/>
  </si>
  <si>
    <t>グラスウール断熱材 高性能品HG36-33</t>
    <phoneticPr fontId="2"/>
  </si>
  <si>
    <t>グラスウール断熱材 高性能品HG36-32</t>
    <phoneticPr fontId="2"/>
  </si>
  <si>
    <t>グラスウール断熱材 高性能品HG36-31</t>
    <phoneticPr fontId="2"/>
  </si>
  <si>
    <t>グラスウール断熱材 高性能品HG38-34</t>
    <phoneticPr fontId="2"/>
  </si>
  <si>
    <t>グラスウール断熱材 高性能品HG38-33</t>
    <phoneticPr fontId="2"/>
  </si>
  <si>
    <t>グラスウール断熱材 高性能品HG38-32</t>
    <phoneticPr fontId="2"/>
  </si>
  <si>
    <t>グラスウール断熱材 高性能品HG38-31</t>
    <phoneticPr fontId="2"/>
  </si>
  <si>
    <t>グラスウール断熱材 高性能品HG40-34</t>
    <phoneticPr fontId="2"/>
  </si>
  <si>
    <t>グラスウール断熱材 高性能品HG40-33</t>
    <phoneticPr fontId="2"/>
  </si>
  <si>
    <t>グラスウール断熱材 高性能品HG40-32</t>
    <phoneticPr fontId="2"/>
  </si>
  <si>
    <t>グラスウール断熱材 高性能品HG48-33</t>
    <phoneticPr fontId="2"/>
  </si>
  <si>
    <t>グラスウール断熱材 高性能品HG48-32</t>
    <phoneticPr fontId="2"/>
  </si>
  <si>
    <t>グラスウール断熱材 高性能品HG48-31</t>
    <phoneticPr fontId="2"/>
  </si>
  <si>
    <t>ロックウール断熱材 LA</t>
    <phoneticPr fontId="2"/>
  </si>
  <si>
    <t>ロックウール断熱材 LB</t>
    <phoneticPr fontId="2"/>
  </si>
  <si>
    <t>ロックウール断熱材 LC</t>
    <phoneticPr fontId="2"/>
  </si>
  <si>
    <t>ロックウール断熱材 LD</t>
    <phoneticPr fontId="2"/>
  </si>
  <si>
    <t>ロックウール断熱材 MA</t>
    <phoneticPr fontId="2"/>
  </si>
  <si>
    <t>ロックウール断熱材 MB</t>
    <phoneticPr fontId="2"/>
  </si>
  <si>
    <t>ロックウール断熱材 MC</t>
    <phoneticPr fontId="2"/>
  </si>
  <si>
    <t>ロックウール断熱材 HA</t>
    <phoneticPr fontId="2"/>
  </si>
  <si>
    <t>ロックウール断熱材 HB</t>
    <phoneticPr fontId="2"/>
  </si>
  <si>
    <t>ロックウール断熱材HC</t>
    <phoneticPr fontId="2"/>
  </si>
  <si>
    <t>インシュレーションファイバー断熱材 ファイバーマット</t>
    <phoneticPr fontId="2"/>
  </si>
  <si>
    <t>インシュレーションファイバー断熱材 ファイバーボード</t>
    <phoneticPr fontId="2"/>
  </si>
  <si>
    <t>ビーズ法ポリスチレンフォーム断熱材 1号</t>
    <rPh sb="19" eb="20">
      <t>ゴウ</t>
    </rPh>
    <phoneticPr fontId="2"/>
  </si>
  <si>
    <t>ビーズ法ポリスチレンフォーム断熱材 2号</t>
    <rPh sb="19" eb="20">
      <t>ゴウ</t>
    </rPh>
    <phoneticPr fontId="2"/>
  </si>
  <si>
    <t>ビーズ法ポリスチレンフォーム断熱材 3号</t>
    <rPh sb="19" eb="20">
      <t>ゴウ</t>
    </rPh>
    <phoneticPr fontId="2"/>
  </si>
  <si>
    <t>ビーズ法ポリスチレンフォーム断熱材 4号</t>
    <rPh sb="19" eb="20">
      <t>ゴウ</t>
    </rPh>
    <phoneticPr fontId="2"/>
  </si>
  <si>
    <t>押出法ポリスチレンフォーム断熱材 1種 b A</t>
    <rPh sb="18" eb="19">
      <t>シュ</t>
    </rPh>
    <phoneticPr fontId="2"/>
  </si>
  <si>
    <t>押出法ポリスチレンフォーム断熱材 1種 b B</t>
    <rPh sb="18" eb="19">
      <t>シュ</t>
    </rPh>
    <phoneticPr fontId="2"/>
  </si>
  <si>
    <t>押出法ポリスチレンフォーム断熱材 1種 b C</t>
    <rPh sb="18" eb="19">
      <t>シュ</t>
    </rPh>
    <phoneticPr fontId="2"/>
  </si>
  <si>
    <t>押出法ポリスチレンフォーム断熱材 2種 b A</t>
    <rPh sb="18" eb="19">
      <t>シュ</t>
    </rPh>
    <phoneticPr fontId="2"/>
  </si>
  <si>
    <t>押出法ポリスチレンフォーム断熱材 2種 b B</t>
    <rPh sb="18" eb="19">
      <t>シュ</t>
    </rPh>
    <phoneticPr fontId="2"/>
  </si>
  <si>
    <t>押出法ポリスチレンフォーム断熱材 2種 b C</t>
    <rPh sb="18" eb="19">
      <t>シュ</t>
    </rPh>
    <phoneticPr fontId="2"/>
  </si>
  <si>
    <t>押出法ポリスチレンフォーム断熱材 3種 a A</t>
    <rPh sb="18" eb="19">
      <t>シュ</t>
    </rPh>
    <phoneticPr fontId="2"/>
  </si>
  <si>
    <t>押出法ポリスチレンフォーム断熱材 3種 a B</t>
    <rPh sb="18" eb="19">
      <t>シュ</t>
    </rPh>
    <phoneticPr fontId="2"/>
  </si>
  <si>
    <t>押出法ポリスチレンフォーム断熱材 3種 a C</t>
    <rPh sb="18" eb="19">
      <t>シュ</t>
    </rPh>
    <phoneticPr fontId="2"/>
  </si>
  <si>
    <t>押出法ポリスチレンフォーム断熱材 3種 a D</t>
    <rPh sb="18" eb="19">
      <t>シュ</t>
    </rPh>
    <phoneticPr fontId="2"/>
  </si>
  <si>
    <t>押出法ポリスチレンフォーム断熱材 3種 b A</t>
    <rPh sb="18" eb="19">
      <t>シュ</t>
    </rPh>
    <phoneticPr fontId="2"/>
  </si>
  <si>
    <t>押出法ポリスチレンフォーム断熱材 3種 b B</t>
    <rPh sb="18" eb="19">
      <t>シュ</t>
    </rPh>
    <phoneticPr fontId="2"/>
  </si>
  <si>
    <t>押出法ポリスチレンフォーム断熱材 3種 b C</t>
    <rPh sb="18" eb="19">
      <t>シュ</t>
    </rPh>
    <phoneticPr fontId="2"/>
  </si>
  <si>
    <t>押出法ポリスチレンフォーム断熱材 3種 b D</t>
    <rPh sb="18" eb="19">
      <t>シュ</t>
    </rPh>
    <phoneticPr fontId="2"/>
  </si>
  <si>
    <t>硬質ウレタンフォーム断熱材 1種</t>
    <rPh sb="15" eb="16">
      <t>シュ</t>
    </rPh>
    <phoneticPr fontId="2"/>
  </si>
  <si>
    <t>硬質ウレタンフォーム断熱材 2種 1号</t>
    <rPh sb="15" eb="16">
      <t>シュ</t>
    </rPh>
    <rPh sb="18" eb="19">
      <t>ゴウ</t>
    </rPh>
    <phoneticPr fontId="2"/>
  </si>
  <si>
    <t>硬質ウレタンフォーム断熱材 2種 2号</t>
    <rPh sb="15" eb="16">
      <t>シュ</t>
    </rPh>
    <rPh sb="18" eb="19">
      <t>ゴウ</t>
    </rPh>
    <phoneticPr fontId="2"/>
  </si>
  <si>
    <t>硬質ウレタンフォーム断熱材 2種 3号</t>
    <rPh sb="15" eb="16">
      <t>シュ</t>
    </rPh>
    <rPh sb="18" eb="19">
      <t>ゴウ</t>
    </rPh>
    <phoneticPr fontId="2"/>
  </si>
  <si>
    <t>硬質ウレタンフォーム断熱材 2種 4号</t>
    <rPh sb="15" eb="16">
      <t>シュ</t>
    </rPh>
    <rPh sb="18" eb="19">
      <t>ゴウ</t>
    </rPh>
    <phoneticPr fontId="2"/>
  </si>
  <si>
    <t>ポリエチレンフォーム断熱材 1種 1号</t>
    <rPh sb="15" eb="16">
      <t>シュ</t>
    </rPh>
    <rPh sb="18" eb="19">
      <t>ゴウ</t>
    </rPh>
    <phoneticPr fontId="2"/>
  </si>
  <si>
    <t>ポリエチレンフォーム断熱材 1種 2号</t>
    <rPh sb="15" eb="16">
      <t>シュ</t>
    </rPh>
    <rPh sb="18" eb="19">
      <t>ゴウ</t>
    </rPh>
    <phoneticPr fontId="2"/>
  </si>
  <si>
    <t>ポリエチレンフォーム断熱材 2種</t>
    <rPh sb="15" eb="16">
      <t>シュ</t>
    </rPh>
    <phoneticPr fontId="2"/>
  </si>
  <si>
    <t>ポリエチレンフォーム断熱材 3種</t>
    <rPh sb="15" eb="16">
      <t>シュ</t>
    </rPh>
    <phoneticPr fontId="2"/>
  </si>
  <si>
    <t>フェノールフォーム断熱材 1種 1号 AⅠ</t>
    <rPh sb="14" eb="15">
      <t>シュ</t>
    </rPh>
    <rPh sb="17" eb="18">
      <t>ゴウ</t>
    </rPh>
    <phoneticPr fontId="2"/>
  </si>
  <si>
    <t>フェノールフォーム断熱材 1種 1号 AⅡ</t>
    <rPh sb="14" eb="15">
      <t>シュ</t>
    </rPh>
    <rPh sb="17" eb="18">
      <t>ゴウ</t>
    </rPh>
    <phoneticPr fontId="2"/>
  </si>
  <si>
    <t>フェノールフォーム断熱材 1種 1号 BⅠ</t>
    <rPh sb="14" eb="15">
      <t>シュ</t>
    </rPh>
    <rPh sb="17" eb="18">
      <t>ゴウ</t>
    </rPh>
    <phoneticPr fontId="2"/>
  </si>
  <si>
    <t>フェノールフォーム断熱材 1種 1号 BⅡ</t>
    <rPh sb="14" eb="15">
      <t>シュ</t>
    </rPh>
    <rPh sb="17" eb="18">
      <t>ゴウ</t>
    </rPh>
    <phoneticPr fontId="2"/>
  </si>
  <si>
    <t>フェノールフォーム断熱材 1種 1号 CⅠ</t>
    <rPh sb="14" eb="15">
      <t>シュ</t>
    </rPh>
    <rPh sb="17" eb="18">
      <t>ゴウ</t>
    </rPh>
    <phoneticPr fontId="2"/>
  </si>
  <si>
    <t>フェノールフォーム断熱材 1種 1号 CⅡ</t>
    <rPh sb="14" eb="15">
      <t>シュ</t>
    </rPh>
    <rPh sb="17" eb="18">
      <t>ゴウ</t>
    </rPh>
    <phoneticPr fontId="2"/>
  </si>
  <si>
    <t>フェノールフォーム断熱材 1種 1号 DⅠ</t>
    <rPh sb="14" eb="15">
      <t>シュ</t>
    </rPh>
    <rPh sb="17" eb="18">
      <t>ゴウ</t>
    </rPh>
    <phoneticPr fontId="2"/>
  </si>
  <si>
    <t>フェノールフォーム断熱材 1種 1号 DⅡ</t>
    <rPh sb="14" eb="15">
      <t>シュ</t>
    </rPh>
    <rPh sb="17" eb="18">
      <t>ゴウ</t>
    </rPh>
    <phoneticPr fontId="2"/>
  </si>
  <si>
    <t>フェノールフォーム断熱材 1種 1号 EⅠ</t>
    <rPh sb="14" eb="15">
      <t>シュ</t>
    </rPh>
    <rPh sb="17" eb="18">
      <t>ゴウ</t>
    </rPh>
    <phoneticPr fontId="2"/>
  </si>
  <si>
    <t>フェノールフォーム断熱材 1種 1号 EⅡ</t>
    <rPh sb="14" eb="15">
      <t>シュ</t>
    </rPh>
    <rPh sb="17" eb="18">
      <t>ゴウ</t>
    </rPh>
    <phoneticPr fontId="2"/>
  </si>
  <si>
    <t>フェノールフォーム断熱材 1種 2号 AⅠ</t>
    <rPh sb="14" eb="15">
      <t>シュ</t>
    </rPh>
    <rPh sb="17" eb="18">
      <t>ゴウ</t>
    </rPh>
    <phoneticPr fontId="2"/>
  </si>
  <si>
    <t>フェノールフォーム断熱材 1種 2号 AⅡ</t>
    <rPh sb="14" eb="15">
      <t>シュ</t>
    </rPh>
    <rPh sb="17" eb="18">
      <t>ゴウ</t>
    </rPh>
    <phoneticPr fontId="2"/>
  </si>
  <si>
    <t>フェノールフォーム断熱材 1種 2号 BⅠ</t>
    <rPh sb="14" eb="15">
      <t>シュ</t>
    </rPh>
    <rPh sb="17" eb="18">
      <t>ゴウ</t>
    </rPh>
    <phoneticPr fontId="2"/>
  </si>
  <si>
    <t>フェノールフォーム断熱材 1種 2号 BⅡ</t>
    <rPh sb="14" eb="15">
      <t>シュ</t>
    </rPh>
    <rPh sb="17" eb="18">
      <t>ゴウ</t>
    </rPh>
    <phoneticPr fontId="2"/>
  </si>
  <si>
    <t>フェノールフォーム断熱材 1種 2号 CⅠ</t>
    <rPh sb="14" eb="15">
      <t>シュ</t>
    </rPh>
    <rPh sb="17" eb="18">
      <t>ゴウ</t>
    </rPh>
    <phoneticPr fontId="2"/>
  </si>
  <si>
    <t>フェノールフォーム断熱材 1種 2号 CⅡ</t>
    <rPh sb="14" eb="15">
      <t>シュ</t>
    </rPh>
    <rPh sb="17" eb="18">
      <t>ゴウ</t>
    </rPh>
    <phoneticPr fontId="2"/>
  </si>
  <si>
    <t>フェノールフォーム断熱材 1種 2号 DⅠ</t>
    <rPh sb="14" eb="15">
      <t>シュ</t>
    </rPh>
    <rPh sb="17" eb="18">
      <t>ゴウ</t>
    </rPh>
    <phoneticPr fontId="2"/>
  </si>
  <si>
    <t>フェノールフォーム断熱材 1種 2号 DⅡ</t>
    <rPh sb="14" eb="15">
      <t>シュ</t>
    </rPh>
    <rPh sb="17" eb="18">
      <t>ゴウ</t>
    </rPh>
    <phoneticPr fontId="2"/>
  </si>
  <si>
    <t>フェノールフォーム断熱材 1種 2号 EⅠ</t>
    <rPh sb="14" eb="15">
      <t>シュ</t>
    </rPh>
    <rPh sb="17" eb="18">
      <t>ゴウ</t>
    </rPh>
    <phoneticPr fontId="2"/>
  </si>
  <si>
    <t>フェノールフォーム断熱材 1種 2号 EⅡ</t>
    <rPh sb="14" eb="15">
      <t>シュ</t>
    </rPh>
    <rPh sb="17" eb="18">
      <t>ゴウ</t>
    </rPh>
    <phoneticPr fontId="2"/>
  </si>
  <si>
    <t>フェノールフォーム断熱材 1種 3号 AⅠ</t>
    <rPh sb="14" eb="15">
      <t>シュ</t>
    </rPh>
    <rPh sb="17" eb="18">
      <t>ゴウ</t>
    </rPh>
    <phoneticPr fontId="2"/>
  </si>
  <si>
    <t>フェノールフォーム断熱材 1種 3号 AⅡ</t>
    <rPh sb="14" eb="15">
      <t>シュ</t>
    </rPh>
    <rPh sb="17" eb="18">
      <t>ゴウ</t>
    </rPh>
    <phoneticPr fontId="2"/>
  </si>
  <si>
    <t>フェノールフォーム断熱材 1種 3号 BⅠ</t>
    <rPh sb="14" eb="15">
      <t>シュ</t>
    </rPh>
    <rPh sb="17" eb="18">
      <t>ゴウ</t>
    </rPh>
    <phoneticPr fontId="2"/>
  </si>
  <si>
    <t>フェノールフォーム断熱材 1種 3号 BⅡ</t>
    <rPh sb="14" eb="15">
      <t>シュ</t>
    </rPh>
    <rPh sb="17" eb="18">
      <t>ゴウ</t>
    </rPh>
    <phoneticPr fontId="2"/>
  </si>
  <si>
    <t>フェノールフォーム断熱材 1種 3号 CⅠ</t>
    <rPh sb="14" eb="15">
      <t>シュ</t>
    </rPh>
    <rPh sb="17" eb="18">
      <t>ゴウ</t>
    </rPh>
    <phoneticPr fontId="2"/>
  </si>
  <si>
    <t>フェノールフォーム断熱材 1種 3号 CⅡ</t>
    <rPh sb="14" eb="15">
      <t>シュ</t>
    </rPh>
    <rPh sb="17" eb="18">
      <t>ゴウ</t>
    </rPh>
    <phoneticPr fontId="2"/>
  </si>
  <si>
    <t>フェノールフォーム断熱材 1種 3号 DⅠ</t>
    <rPh sb="14" eb="15">
      <t>シュ</t>
    </rPh>
    <rPh sb="17" eb="18">
      <t>ゴウ</t>
    </rPh>
    <phoneticPr fontId="2"/>
  </si>
  <si>
    <t>フェノールフォーム断熱材 1種 3号 DⅡ</t>
    <rPh sb="14" eb="15">
      <t>シュ</t>
    </rPh>
    <rPh sb="17" eb="18">
      <t>ゴウ</t>
    </rPh>
    <phoneticPr fontId="2"/>
  </si>
  <si>
    <t>フェノールフォーム断熱材 1種 3号 EⅠ</t>
    <rPh sb="14" eb="15">
      <t>シュ</t>
    </rPh>
    <rPh sb="17" eb="18">
      <t>ゴウ</t>
    </rPh>
    <phoneticPr fontId="2"/>
  </si>
  <si>
    <t>フェノールフォーム断熱材 1種 3号 EⅡ</t>
    <rPh sb="14" eb="15">
      <t>シュ</t>
    </rPh>
    <rPh sb="17" eb="18">
      <t>ゴウ</t>
    </rPh>
    <phoneticPr fontId="2"/>
  </si>
  <si>
    <t>フェノールフォーム断熱材 2種 1号 AⅠ</t>
    <rPh sb="14" eb="15">
      <t>シュ</t>
    </rPh>
    <rPh sb="17" eb="18">
      <t>ゴウ</t>
    </rPh>
    <phoneticPr fontId="2"/>
  </si>
  <si>
    <t>フェノールフォーム断熱材 2種 1号 AⅡ</t>
    <rPh sb="14" eb="15">
      <t>シュ</t>
    </rPh>
    <rPh sb="17" eb="18">
      <t>ゴウ</t>
    </rPh>
    <phoneticPr fontId="2"/>
  </si>
  <si>
    <t>フェノールフォーム断熱材 2種 2号 AⅠ</t>
    <rPh sb="14" eb="15">
      <t>シュ</t>
    </rPh>
    <rPh sb="17" eb="18">
      <t>ゴウ</t>
    </rPh>
    <phoneticPr fontId="2"/>
  </si>
  <si>
    <t>フェノールフォーム断熱材 2種 2号 AⅡ</t>
    <rPh sb="14" eb="15">
      <t>シュ</t>
    </rPh>
    <rPh sb="17" eb="18">
      <t>ゴウ</t>
    </rPh>
    <phoneticPr fontId="2"/>
  </si>
  <si>
    <t>フェノールフォーム断熱材 2種 3号 AⅠ</t>
    <rPh sb="14" eb="15">
      <t>シュ</t>
    </rPh>
    <rPh sb="17" eb="18">
      <t>ゴウ</t>
    </rPh>
    <phoneticPr fontId="2"/>
  </si>
  <si>
    <t>フェノールフォーム断熱材 2種 3号 AⅡ</t>
    <rPh sb="14" eb="15">
      <t>シュ</t>
    </rPh>
    <rPh sb="17" eb="18">
      <t>ゴウ</t>
    </rPh>
    <phoneticPr fontId="2"/>
  </si>
  <si>
    <t>フェノールフォーム断熱材 3種 1号 AⅠ</t>
    <rPh sb="14" eb="15">
      <t>シュ</t>
    </rPh>
    <rPh sb="17" eb="18">
      <t>ゴウ</t>
    </rPh>
    <phoneticPr fontId="2"/>
  </si>
  <si>
    <t>フェノールフォーム断熱材3種 1号 AⅡ</t>
    <rPh sb="13" eb="14">
      <t>シュ</t>
    </rPh>
    <rPh sb="16" eb="17">
      <t>ゴウ</t>
    </rPh>
    <phoneticPr fontId="2"/>
  </si>
  <si>
    <t>吹付け硬質ウレタンフォーム断熱材 A種 1</t>
    <rPh sb="18" eb="19">
      <t>シュ</t>
    </rPh>
    <phoneticPr fontId="2"/>
  </si>
  <si>
    <t>吹付け硬質ウレタンフォーム断熱材 A種 2</t>
    <rPh sb="18" eb="19">
      <t>シュ</t>
    </rPh>
    <phoneticPr fontId="2"/>
  </si>
  <si>
    <t>吹付け硬質ウレタンフォーム断熱材 A種 3</t>
    <rPh sb="18" eb="19">
      <t>シュ</t>
    </rPh>
    <phoneticPr fontId="2"/>
  </si>
  <si>
    <t>断熱材の熱伝導率</t>
    <rPh sb="0" eb="2">
      <t>ダンネツ</t>
    </rPh>
    <rPh sb="2" eb="3">
      <t>ザイ</t>
    </rPh>
    <rPh sb="4" eb="5">
      <t>ネツ</t>
    </rPh>
    <rPh sb="5" eb="8">
      <t>デンドウリツ</t>
    </rPh>
    <phoneticPr fontId="2"/>
  </si>
  <si>
    <t>JIS(A 9521)で定める断熱材の熱伝導率</t>
    <phoneticPr fontId="2"/>
  </si>
  <si>
    <t>A種 特号</t>
    <rPh sb="3" eb="4">
      <t>トク</t>
    </rPh>
    <phoneticPr fontId="2"/>
  </si>
  <si>
    <t>A種 3種</t>
  </si>
  <si>
    <t>A種 1号</t>
    <phoneticPr fontId="2"/>
  </si>
  <si>
    <t>A種 2号</t>
    <phoneticPr fontId="2"/>
  </si>
  <si>
    <t>A種 3号</t>
    <phoneticPr fontId="2"/>
  </si>
  <si>
    <t>A種 4号</t>
    <phoneticPr fontId="2"/>
  </si>
  <si>
    <t>A種 1種a</t>
    <phoneticPr fontId="2"/>
  </si>
  <si>
    <t>A種 2種a</t>
  </si>
  <si>
    <t>A種 3種a</t>
  </si>
  <si>
    <t>A種 1種b</t>
    <phoneticPr fontId="2"/>
  </si>
  <si>
    <t>A種 2種b</t>
  </si>
  <si>
    <t>A種 3種b</t>
  </si>
  <si>
    <t>A種 1種</t>
    <phoneticPr fontId="2"/>
  </si>
  <si>
    <t>A種 2種1号</t>
    <rPh sb="6" eb="7">
      <t>ゴウ</t>
    </rPh>
    <phoneticPr fontId="2"/>
  </si>
  <si>
    <t>B種 1種2号</t>
  </si>
  <si>
    <t>B種 2種2号</t>
  </si>
  <si>
    <t>A種 2種2号</t>
    <rPh sb="6" eb="7">
      <t>ゴウ</t>
    </rPh>
    <phoneticPr fontId="2"/>
  </si>
  <si>
    <t>A種 2種3号</t>
    <rPh sb="6" eb="7">
      <t>ゴウ</t>
    </rPh>
    <phoneticPr fontId="2"/>
  </si>
  <si>
    <t>A種 2種4号</t>
    <rPh sb="6" eb="7">
      <t>ゴウ</t>
    </rPh>
    <phoneticPr fontId="2"/>
  </si>
  <si>
    <t>B種 1種1号</t>
    <phoneticPr fontId="2"/>
  </si>
  <si>
    <t>JIS(A 9511)で定める断熱材の熱伝導率</t>
    <phoneticPr fontId="2"/>
  </si>
  <si>
    <t>B種 2種1号</t>
    <phoneticPr fontId="2"/>
  </si>
  <si>
    <t>A種 1種1号</t>
    <rPh sb="6" eb="7">
      <t>ゴウ</t>
    </rPh>
    <phoneticPr fontId="2"/>
  </si>
  <si>
    <t>A種 1種2号</t>
    <rPh sb="6" eb="7">
      <t>ゴウ</t>
    </rPh>
    <phoneticPr fontId="2"/>
  </si>
  <si>
    <t>A種 2種</t>
    <phoneticPr fontId="2"/>
  </si>
  <si>
    <t>ポリエチレンフォーム保温板</t>
    <phoneticPr fontId="2"/>
  </si>
  <si>
    <t>A種 3種1号</t>
    <rPh sb="6" eb="7">
      <t>ゴウ</t>
    </rPh>
    <phoneticPr fontId="2"/>
  </si>
  <si>
    <t>A種 3種2号</t>
    <rPh sb="6" eb="7">
      <t>ゴウ</t>
    </rPh>
    <phoneticPr fontId="2"/>
  </si>
  <si>
    <t>フェノールフォーム保温板</t>
    <phoneticPr fontId="2"/>
  </si>
  <si>
    <t>ビーズ法ポリスチレンフォーム保温板</t>
    <phoneticPr fontId="2"/>
  </si>
  <si>
    <t>ビーズ法ポリスチレンフォーム保温板 A種 特号</t>
    <rPh sb="21" eb="22">
      <t>トク</t>
    </rPh>
    <phoneticPr fontId="2"/>
  </si>
  <si>
    <t>ビーズ法ポリスチレンフォーム保温板 A種 1号</t>
    <phoneticPr fontId="2"/>
  </si>
  <si>
    <t>ビーズ法ポリスチレンフォーム保温板 A種 2号</t>
    <phoneticPr fontId="2"/>
  </si>
  <si>
    <t>ビーズ法ポリスチレンフォーム保温板 A種 3号</t>
    <phoneticPr fontId="2"/>
  </si>
  <si>
    <t>ビーズ法ポリスチレンフォーム保温板 A種 4号</t>
    <phoneticPr fontId="2"/>
  </si>
  <si>
    <t>押出法ポリスチレンフォーム保温板</t>
    <phoneticPr fontId="2"/>
  </si>
  <si>
    <t>押出法ポリスチレンフォーム保温板 A種 1種a</t>
    <phoneticPr fontId="2"/>
  </si>
  <si>
    <t>押出法ポリスチレンフォーム保温板 A種 1種b</t>
    <phoneticPr fontId="2"/>
  </si>
  <si>
    <t>押出法ポリスチレンフォーム保温板 A種 2種a</t>
    <phoneticPr fontId="2"/>
  </si>
  <si>
    <t>押出法ポリスチレンフォーム保温板 A種 2種b</t>
    <phoneticPr fontId="2"/>
  </si>
  <si>
    <t>押出法ポリスチレンフォーム保温板 A種 3種a</t>
    <phoneticPr fontId="2"/>
  </si>
  <si>
    <t>押出法ポリスチレンフォーム保温板 A種 3種b</t>
    <phoneticPr fontId="2"/>
  </si>
  <si>
    <t>硬質ウレタンフォーム保温板</t>
    <phoneticPr fontId="2"/>
  </si>
  <si>
    <t>硬質ウレタンフォーム保温板 A種 1種</t>
    <phoneticPr fontId="2"/>
  </si>
  <si>
    <t>硬質ウレタンフォーム保温板 A種 2種1号</t>
    <rPh sb="20" eb="21">
      <t>ゴウ</t>
    </rPh>
    <phoneticPr fontId="2"/>
  </si>
  <si>
    <t>硬質ウレタンフォーム保温板 A種 2種2号</t>
    <rPh sb="20" eb="21">
      <t>ゴウ</t>
    </rPh>
    <phoneticPr fontId="2"/>
  </si>
  <si>
    <t>硬質ウレタンフォーム保温板 A種 2種3号</t>
    <rPh sb="20" eb="21">
      <t>ゴウ</t>
    </rPh>
    <phoneticPr fontId="2"/>
  </si>
  <si>
    <t>硬質ウレタンフォーム保温板 A種 2種4号</t>
    <rPh sb="20" eb="21">
      <t>ゴウ</t>
    </rPh>
    <phoneticPr fontId="2"/>
  </si>
  <si>
    <t>硬質ウレタンフォーム保温板 B種 1種1号</t>
    <phoneticPr fontId="2"/>
  </si>
  <si>
    <t>硬質ウレタンフォーム保温板 B種 1種2号</t>
    <phoneticPr fontId="2"/>
  </si>
  <si>
    <t>硬質ウレタンフォーム保温板 B種 2種1号</t>
    <phoneticPr fontId="2"/>
  </si>
  <si>
    <t>硬質ウレタンフォーム保温板 B種 2種2号</t>
    <phoneticPr fontId="2"/>
  </si>
  <si>
    <t>ポリエチレンフォーム保温板 A種 1種1号</t>
    <rPh sb="20" eb="21">
      <t>ゴウ</t>
    </rPh>
    <phoneticPr fontId="2"/>
  </si>
  <si>
    <t>ポリエチレンフォーム保温板 A種 1種2号</t>
    <rPh sb="20" eb="21">
      <t>ゴウ</t>
    </rPh>
    <phoneticPr fontId="2"/>
  </si>
  <si>
    <t>ポリエチレンフォーム保温板 A種 2種</t>
    <phoneticPr fontId="2"/>
  </si>
  <si>
    <t>ポリエチレンフォーム保温板 A種 3種</t>
    <phoneticPr fontId="2"/>
  </si>
  <si>
    <t>フェノールフォーム保温板 A種 1種1号</t>
    <rPh sb="19" eb="20">
      <t>ゴウ</t>
    </rPh>
    <phoneticPr fontId="2"/>
  </si>
  <si>
    <t>フェノールフォーム保温板 A種 1種2号</t>
    <rPh sb="19" eb="20">
      <t>ゴウ</t>
    </rPh>
    <phoneticPr fontId="2"/>
  </si>
  <si>
    <t>フェノールフォーム保温板 A種 2種1号</t>
    <rPh sb="19" eb="20">
      <t>ゴウ</t>
    </rPh>
    <phoneticPr fontId="2"/>
  </si>
  <si>
    <t>フェノールフォーム保温板 A種 2種2号</t>
    <rPh sb="19" eb="20">
      <t>ゴウ</t>
    </rPh>
    <phoneticPr fontId="2"/>
  </si>
  <si>
    <t>フェノールフォーム保温板 A種 2種3号</t>
    <rPh sb="19" eb="20">
      <t>ゴウ</t>
    </rPh>
    <phoneticPr fontId="2"/>
  </si>
  <si>
    <t>フェノールフォーム保温板 A種 3種1号</t>
    <rPh sb="19" eb="20">
      <t>ゴウ</t>
    </rPh>
    <phoneticPr fontId="2"/>
  </si>
  <si>
    <t>フェノールフォーム保温板 A種 3種2号</t>
    <rPh sb="19" eb="20">
      <t>ゴウ</t>
    </rPh>
    <phoneticPr fontId="2"/>
  </si>
  <si>
    <t>JIS(A 9526)で定める断熱材の熱伝導率</t>
    <phoneticPr fontId="2"/>
  </si>
  <si>
    <t>端数処理無し</t>
    <rPh sb="0" eb="2">
      <t>ハスウ</t>
    </rPh>
    <rPh sb="2" eb="4">
      <t>ショリ</t>
    </rPh>
    <rPh sb="4" eb="5">
      <t>ナ</t>
    </rPh>
    <phoneticPr fontId="2"/>
  </si>
  <si>
    <t>q</t>
    <phoneticPr fontId="2"/>
  </si>
  <si>
    <t>mc</t>
    <phoneticPr fontId="2"/>
  </si>
  <si>
    <t>mh</t>
    <phoneticPr fontId="2"/>
  </si>
  <si>
    <t>　外皮等面積の合計</t>
    <phoneticPr fontId="2"/>
  </si>
  <si>
    <t>W/（㎡K）</t>
    <phoneticPr fontId="2"/>
  </si>
  <si>
    <t>‐H28年省エネルギー基準に基づく（木造戸建て住宅）‐</t>
    <phoneticPr fontId="2"/>
  </si>
  <si>
    <r>
      <t>　外皮平均熱貫流率(U</t>
    </r>
    <r>
      <rPr>
        <vertAlign val="subscript"/>
        <sz val="10"/>
        <rFont val="ＭＳ Ｐゴシック"/>
        <family val="3"/>
        <charset val="128"/>
      </rPr>
      <t>A</t>
    </r>
    <r>
      <rPr>
        <sz val="10"/>
        <rFont val="ＭＳ Ｐゴシック"/>
        <family val="3"/>
        <charset val="128"/>
      </rPr>
      <t>)</t>
    </r>
    <phoneticPr fontId="2"/>
  </si>
  <si>
    <r>
      <t>　冷房期の外皮平均日射熱取得率(η</t>
    </r>
    <r>
      <rPr>
        <vertAlign val="subscript"/>
        <sz val="10"/>
        <rFont val="ＭＳ Ｐゴシック"/>
        <family val="3"/>
        <charset val="128"/>
      </rPr>
      <t>AC</t>
    </r>
    <r>
      <rPr>
        <sz val="10"/>
        <rFont val="ＭＳ Ｐゴシック"/>
        <family val="3"/>
        <charset val="128"/>
      </rPr>
      <t>)</t>
    </r>
    <phoneticPr fontId="2"/>
  </si>
  <si>
    <r>
      <t>　暖房期の外皮平均日射熱取得率(η</t>
    </r>
    <r>
      <rPr>
        <vertAlign val="subscript"/>
        <sz val="10"/>
        <rFont val="ＭＳ Ｐゴシック"/>
        <family val="3"/>
        <charset val="128"/>
      </rPr>
      <t>AH</t>
    </r>
    <r>
      <rPr>
        <sz val="10"/>
        <rFont val="ＭＳ Ｐゴシック"/>
        <family val="3"/>
        <charset val="128"/>
      </rPr>
      <t>)</t>
    </r>
    <rPh sb="1" eb="3">
      <t>ダンボウ</t>
    </rPh>
    <phoneticPr fontId="2"/>
  </si>
  <si>
    <t>20:Low-E　複層（G4以上Ｇ8未満）日射取得型</t>
    <rPh sb="9" eb="11">
      <t>フクソウ</t>
    </rPh>
    <phoneticPr fontId="2"/>
  </si>
  <si>
    <t>21:Low-E　複層（G4以上Ｇ8未満）日射遮蔽型</t>
    <rPh sb="9" eb="11">
      <t>フクソウ</t>
    </rPh>
    <rPh sb="23" eb="25">
      <t>シャヘイ</t>
    </rPh>
    <phoneticPr fontId="2"/>
  </si>
  <si>
    <t>あ:枠：木製/戸：断熱積層構造 三層複層(A12以上)</t>
    <rPh sb="2" eb="3">
      <t>ワク</t>
    </rPh>
    <rPh sb="4" eb="6">
      <t>モクセイ</t>
    </rPh>
    <rPh sb="7" eb="8">
      <t>ト</t>
    </rPh>
    <rPh sb="9" eb="11">
      <t>ダンネツ</t>
    </rPh>
    <rPh sb="11" eb="13">
      <t>セキソウ</t>
    </rPh>
    <rPh sb="13" eb="15">
      <t>コウゾウ</t>
    </rPh>
    <rPh sb="24" eb="26">
      <t>イジョウ</t>
    </rPh>
    <phoneticPr fontId="2"/>
  </si>
  <si>
    <t>い:枠：木製/戸：断熱積層構造 Low-E 複層(A10以上)</t>
  </si>
  <si>
    <t>え:枠：木製/戸：断熱積層構造 複層(A10以上)</t>
  </si>
  <si>
    <t>え:枠：木製/戸：断熱積層構造 複層(A10以上)</t>
    <phoneticPr fontId="2"/>
  </si>
  <si>
    <t>お:枠：木製/戸：断熱積層構造 ガラスなし</t>
  </si>
  <si>
    <t>お:枠：木製/戸：断熱積層構造 ガラスなし</t>
    <phoneticPr fontId="2"/>
  </si>
  <si>
    <t>い:枠：木製/戸：断熱積層構造 Low-E 複層(A10以上)</t>
    <phoneticPr fontId="2"/>
  </si>
  <si>
    <t>う:枠：木製/戸：断熱積層構造 Low-E 複層(A6以上A10未満)</t>
    <rPh sb="27" eb="29">
      <t>イジョウ</t>
    </rPh>
    <rPh sb="32" eb="34">
      <t>ミマン</t>
    </rPh>
    <phoneticPr fontId="2"/>
  </si>
  <si>
    <t>か:枠：金属製熱遮断構造/戸：高断熱フラッシュ構造 Low-E 複層(G12以上)or「ガラスなし」</t>
    <rPh sb="4" eb="6">
      <t>キンゾク</t>
    </rPh>
    <rPh sb="7" eb="8">
      <t>ネツ</t>
    </rPh>
    <rPh sb="8" eb="10">
      <t>シャダン</t>
    </rPh>
    <rPh sb="10" eb="12">
      <t>コウゾウ</t>
    </rPh>
    <rPh sb="15" eb="16">
      <t>コウ</t>
    </rPh>
    <phoneticPr fontId="2"/>
  </si>
  <si>
    <t>き:枠：金属製熱遮断構造、木と金属との複合材料製又は樹脂と金属との複合材料製/戸：断熱フラッシュ構造 Low-E 複層(A10以上)</t>
    <rPh sb="2" eb="3">
      <t>ワク</t>
    </rPh>
    <rPh sb="4" eb="7">
      <t>キンゾクセイ</t>
    </rPh>
    <rPh sb="7" eb="8">
      <t>ネツ</t>
    </rPh>
    <rPh sb="8" eb="10">
      <t>シャダン</t>
    </rPh>
    <rPh sb="10" eb="12">
      <t>コウゾウ</t>
    </rPh>
    <rPh sb="13" eb="14">
      <t>キ</t>
    </rPh>
    <rPh sb="15" eb="17">
      <t>キンゾク</t>
    </rPh>
    <rPh sb="19" eb="24">
      <t>フクゴウザイリョウセイ</t>
    </rPh>
    <rPh sb="24" eb="25">
      <t>マタ</t>
    </rPh>
    <rPh sb="26" eb="28">
      <t>ジュシ</t>
    </rPh>
    <rPh sb="29" eb="31">
      <t>キンゾク</t>
    </rPh>
    <rPh sb="33" eb="38">
      <t>フクゴウザイリョウセイ</t>
    </rPh>
    <rPh sb="39" eb="40">
      <t>ト</t>
    </rPh>
    <rPh sb="41" eb="43">
      <t>ダンネツ</t>
    </rPh>
    <rPh sb="48" eb="50">
      <t>コウゾウ</t>
    </rPh>
    <rPh sb="57" eb="59">
      <t>フクソウ</t>
    </rPh>
    <rPh sb="63" eb="65">
      <t>イジョウ</t>
    </rPh>
    <phoneticPr fontId="2"/>
  </si>
  <si>
    <t>く:枠：金属製熱遮断構造、木と金属との複合材料製又は樹脂と金属との複合材料製/戸：断熱フラッシュ構造 Low-E 複層(A6以上A10未満)</t>
    <rPh sb="67" eb="69">
      <t>ミマン</t>
    </rPh>
    <phoneticPr fontId="2"/>
  </si>
  <si>
    <t>け:枠：金属製熱遮断構造、木と金属との複合材料製又は樹脂と金属との複合材料製/戸：断熱フラッシュ構造 複層(A10以上)</t>
    <rPh sb="57" eb="59">
      <t>イジョウ</t>
    </rPh>
    <phoneticPr fontId="2"/>
  </si>
  <si>
    <t>こ:枠：金属製熱遮断構造、木と金属との複合材料製又は樹脂と金属との複合材料製/戸：断熱フラッシュ構造 ガラスなし</t>
  </si>
  <si>
    <t>こ:枠：金属製熱遮断構造、木と金属との複合材料製又は樹脂と金属との複合材料製/戸：断熱フラッシュ構造 ガラスなし</t>
    <phoneticPr fontId="2"/>
  </si>
  <si>
    <t>さ:枠：金属製熱遮断構造/戸：フラッシュ構造 Low-E 複層(A10以上)</t>
  </si>
  <si>
    <t>さ:枠：金属製熱遮断構造/戸：フラッシュ構造 Low-E 複層(A10以上)</t>
    <phoneticPr fontId="2"/>
  </si>
  <si>
    <t>し:枠：金属製熱遮断構造/戸：フラッシュ構造 複層(A12以上) or「ガラスなし」</t>
  </si>
  <si>
    <t>し:枠：金属製熱遮断構造/戸：フラッシュ構造 複層(A12以上) or「ガラスなし」</t>
    <phoneticPr fontId="2"/>
  </si>
  <si>
    <t>す:枠：指定なし/戸：木製 複層(A4以上) or「ガラスなし」</t>
    <rPh sb="4" eb="6">
      <t>シテイ</t>
    </rPh>
    <rPh sb="11" eb="13">
      <t>モクセイ</t>
    </rPh>
    <phoneticPr fontId="2"/>
  </si>
  <si>
    <t>せ:枠：指定なし/戸：フラッシュ構造 複層(A4以上) or「ガラスなし」</t>
  </si>
  <si>
    <t>せ:枠：指定なし/戸：フラッシュ構造 複層(A4以上) or「ガラスなし」</t>
    <phoneticPr fontId="2"/>
  </si>
  <si>
    <t>そ:枠：指定なし/戸：ハニカムフラッシュ構造 複層(A4以上) or「ガラスなし」</t>
  </si>
  <si>
    <t>そ:枠：指定なし/戸：ハニカムフラッシュ構造 複層(A4以上) or「ガラスなし」</t>
    <phoneticPr fontId="2"/>
  </si>
  <si>
    <t>aaaa~pppp</t>
  </si>
  <si>
    <t>aaaa~pppp</t>
    <phoneticPr fontId="2"/>
  </si>
  <si>
    <t>a~z</t>
  </si>
  <si>
    <t>aa~zz</t>
  </si>
  <si>
    <t>aaa~zzz</t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</si>
  <si>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</si>
  <si>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</si>
  <si>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</si>
  <si>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</si>
  <si>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</si>
  <si>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</si>
  <si>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</si>
  <si>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</si>
  <si>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　注２：本計算シートの計算方法は、「省エネルギー基準に準拠した算定・判断の方法及び解説（Ⅱ住宅）」に示す</t>
    <rPh sb="1" eb="2">
      <t>チュウ</t>
    </rPh>
    <rPh sb="4" eb="5">
      <t>ホン</t>
    </rPh>
    <rPh sb="5" eb="7">
      <t>ケイサン</t>
    </rPh>
    <rPh sb="11" eb="13">
      <t>ケイサン</t>
    </rPh>
    <rPh sb="13" eb="15">
      <t>ホウホウ</t>
    </rPh>
    <rPh sb="18" eb="19">
      <t>ショウ</t>
    </rPh>
    <rPh sb="24" eb="26">
      <t>キジュン</t>
    </rPh>
    <rPh sb="27" eb="29">
      <t>ジュンキョ</t>
    </rPh>
    <rPh sb="31" eb="33">
      <t>サンテイ</t>
    </rPh>
    <rPh sb="34" eb="36">
      <t>ハンダン</t>
    </rPh>
    <rPh sb="37" eb="39">
      <t>ホウホウ</t>
    </rPh>
    <rPh sb="39" eb="40">
      <t>オヨ</t>
    </rPh>
    <rPh sb="41" eb="43">
      <t>カイセツ</t>
    </rPh>
    <rPh sb="45" eb="47">
      <t>ジュウタク</t>
    </rPh>
    <rPh sb="50" eb="51">
      <t>シメ</t>
    </rPh>
    <phoneticPr fontId="2"/>
  </si>
  <si>
    <t>1）窓の熱損失の算出エラーの訂正（補正熱貫流率の関数式の訂正）</t>
    <rPh sb="2" eb="3">
      <t>マド</t>
    </rPh>
    <rPh sb="4" eb="5">
      <t>ネツ</t>
    </rPh>
    <rPh sb="5" eb="7">
      <t>ソンシツ</t>
    </rPh>
    <rPh sb="8" eb="10">
      <t>サンシュツ</t>
    </rPh>
    <rPh sb="14" eb="16">
      <t>テイセイ</t>
    </rPh>
    <rPh sb="17" eb="19">
      <t>ホセイ</t>
    </rPh>
    <rPh sb="19" eb="20">
      <t>ネツ</t>
    </rPh>
    <rPh sb="20" eb="22">
      <t>カンリュウ</t>
    </rPh>
    <rPh sb="22" eb="23">
      <t>リツ</t>
    </rPh>
    <rPh sb="24" eb="26">
      <t>カンスウ</t>
    </rPh>
    <rPh sb="26" eb="27">
      <t>シキ</t>
    </rPh>
    <rPh sb="28" eb="30">
      <t>テイセイ</t>
    </rPh>
    <phoneticPr fontId="2"/>
  </si>
  <si>
    <t xml:space="preserve">
はじめに（お読みください）
</t>
    <rPh sb="7" eb="8">
      <t>ヨ</t>
    </rPh>
    <phoneticPr fontId="2"/>
  </si>
  <si>
    <t xml:space="preserve">
１)
</t>
    <phoneticPr fontId="2"/>
  </si>
  <si>
    <t xml:space="preserve">　
　本エクセル計算シートの著作権は、一般社団法人住宅性能評価・表示協会に帰属します。
</t>
    <phoneticPr fontId="2"/>
  </si>
  <si>
    <t xml:space="preserve">
２)</t>
    <phoneticPr fontId="2"/>
  </si>
  <si>
    <t xml:space="preserve">
３)</t>
    <phoneticPr fontId="2"/>
  </si>
  <si>
    <t xml:space="preserve">
　本エクセル計算シートは、当協会の会員及び設計者へのサービスの一環として、無料で公開するものです。利用者は、利用者自身の自己責任において、本エクセル計算シートを利用してください。
　当協会は、事由のいかんを問わず、本エクセルシートの使用によって発生した（代用品または代用サービスの調達、使用の損失、データの損失、利益の損失、業務の中断も含め、またはそれに限定されない）直接損害、間接損害、偶発的な損害、特別損害、懲罰的損害、または結果損害について、一切の責任を負わないものとします。
</t>
    <phoneticPr fontId="2"/>
  </si>
  <si>
    <r>
      <t xml:space="preserve">
　本エクセル計算シートの計算方法は、国立研究開発法人建築研究所のホームページで公開されている「建築物のエネルギー消費性能に関する技術情報」の「4.3技術情報 平成28年省エネルギー基準に準拠したエネルギー消費性能の評価に関する技術情報（住宅）」(http://www.kenken.go.jp/becc/house.html)に示される第三章第二節「外皮性能」</t>
    </r>
    <r>
      <rPr>
        <sz val="10.5"/>
        <rFont val="ＭＳ ゴシック"/>
        <family val="3"/>
        <charset val="128"/>
      </rPr>
      <t xml:space="preserve">（以下、「建築研究所公開資料」という。）に基づき、当協会が作成したものです。
　万一、技術情報と本エクセル計算シートの内容に齟齬がある場合は、建築研究所公開資料で定める内容が優先されます。
</t>
    </r>
    <phoneticPr fontId="2"/>
  </si>
  <si>
    <t>　注７：本計算シートでは計算式の誤削除を防止するため、シートを保護しています。</t>
    <rPh sb="1" eb="2">
      <t>チュウ</t>
    </rPh>
    <rPh sb="4" eb="5">
      <t>ホン</t>
    </rPh>
    <rPh sb="5" eb="7">
      <t>ケイサン</t>
    </rPh>
    <rPh sb="12" eb="14">
      <t>ケイサン</t>
    </rPh>
    <rPh sb="14" eb="15">
      <t>シキ</t>
    </rPh>
    <rPh sb="16" eb="17">
      <t>ゴ</t>
    </rPh>
    <rPh sb="17" eb="19">
      <t>サクジョ</t>
    </rPh>
    <rPh sb="20" eb="22">
      <t>ボウシ</t>
    </rPh>
    <rPh sb="31" eb="33">
      <t>ホゴ</t>
    </rPh>
    <phoneticPr fontId="2"/>
  </si>
  <si>
    <t>あ_木製建具又は樹脂性建具</t>
    <rPh sb="2" eb="4">
      <t>モクセイ</t>
    </rPh>
    <rPh sb="4" eb="6">
      <t>タテグ</t>
    </rPh>
    <rPh sb="6" eb="7">
      <t>マタ</t>
    </rPh>
    <rPh sb="8" eb="11">
      <t>ジュシセイ</t>
    </rPh>
    <rPh sb="11" eb="13">
      <t>タテグ</t>
    </rPh>
    <phoneticPr fontId="2"/>
  </si>
  <si>
    <t>い_木と金属の複合材料製建具又は樹脂と金属の複合材料製建具</t>
    <rPh sb="2" eb="3">
      <t>キ</t>
    </rPh>
    <rPh sb="4" eb="6">
      <t>キンゾク</t>
    </rPh>
    <rPh sb="7" eb="9">
      <t>フクゴウ</t>
    </rPh>
    <rPh sb="9" eb="11">
      <t>ザイリョウ</t>
    </rPh>
    <rPh sb="11" eb="12">
      <t>セイ</t>
    </rPh>
    <rPh sb="12" eb="14">
      <t>タテグ</t>
    </rPh>
    <rPh sb="14" eb="15">
      <t>マタ</t>
    </rPh>
    <rPh sb="16" eb="18">
      <t>ジュシ</t>
    </rPh>
    <rPh sb="19" eb="21">
      <t>キンゾク</t>
    </rPh>
    <rPh sb="22" eb="24">
      <t>フクゴウ</t>
    </rPh>
    <rPh sb="24" eb="26">
      <t>ザイリョウ</t>
    </rPh>
    <rPh sb="27" eb="29">
      <t>タテグ</t>
    </rPh>
    <phoneticPr fontId="2"/>
  </si>
  <si>
    <t>う_金属製熱遮断構造建具</t>
    <rPh sb="2" eb="4">
      <t>キンゾク</t>
    </rPh>
    <rPh sb="4" eb="5">
      <t>セイ</t>
    </rPh>
    <rPh sb="5" eb="6">
      <t>ネツ</t>
    </rPh>
    <rPh sb="6" eb="8">
      <t>シャダン</t>
    </rPh>
    <rPh sb="8" eb="10">
      <t>コウゾウ</t>
    </rPh>
    <rPh sb="10" eb="12">
      <t>タテグ</t>
    </rPh>
    <phoneticPr fontId="2"/>
  </si>
  <si>
    <t>え_金属製建具</t>
    <rPh sb="2" eb="4">
      <t>キンゾク</t>
    </rPh>
    <rPh sb="4" eb="5">
      <t>セイ</t>
    </rPh>
    <rPh sb="5" eb="7">
      <t>タテグ</t>
    </rPh>
    <phoneticPr fontId="2"/>
  </si>
  <si>
    <t>建具の仕様_北</t>
    <rPh sb="0" eb="2">
      <t>タテグ</t>
    </rPh>
    <rPh sb="3" eb="5">
      <t>シヨウ</t>
    </rPh>
    <rPh sb="6" eb="7">
      <t>キタ</t>
    </rPh>
    <phoneticPr fontId="2"/>
  </si>
  <si>
    <t>建具の仕様_北東</t>
    <rPh sb="0" eb="2">
      <t>タテグ</t>
    </rPh>
    <rPh sb="3" eb="5">
      <t>シヨウ</t>
    </rPh>
    <rPh sb="6" eb="8">
      <t>ホクトウ</t>
    </rPh>
    <phoneticPr fontId="2"/>
  </si>
  <si>
    <t>建具の仕様_東</t>
    <rPh sb="0" eb="2">
      <t>タテグ</t>
    </rPh>
    <rPh sb="3" eb="5">
      <t>シヨウ</t>
    </rPh>
    <rPh sb="6" eb="7">
      <t>ヒガシ</t>
    </rPh>
    <phoneticPr fontId="2"/>
  </si>
  <si>
    <t>建具の仕様_南東</t>
    <rPh sb="0" eb="2">
      <t>タテグ</t>
    </rPh>
    <rPh sb="3" eb="5">
      <t>シヨウ</t>
    </rPh>
    <rPh sb="6" eb="7">
      <t>ミナミ</t>
    </rPh>
    <rPh sb="7" eb="8">
      <t>ヒガシ</t>
    </rPh>
    <phoneticPr fontId="2"/>
  </si>
  <si>
    <t>建具の仕様_南</t>
    <rPh sb="0" eb="2">
      <t>タテグ</t>
    </rPh>
    <rPh sb="3" eb="5">
      <t>シヨウ</t>
    </rPh>
    <rPh sb="6" eb="7">
      <t>ミナミ</t>
    </rPh>
    <phoneticPr fontId="2"/>
  </si>
  <si>
    <t>建具の仕様_南西</t>
    <rPh sb="0" eb="2">
      <t>タテグ</t>
    </rPh>
    <rPh sb="3" eb="5">
      <t>シヨウ</t>
    </rPh>
    <rPh sb="6" eb="7">
      <t>ミナミ</t>
    </rPh>
    <rPh sb="7" eb="8">
      <t>ニシ</t>
    </rPh>
    <phoneticPr fontId="2"/>
  </si>
  <si>
    <t>建具の仕様_西</t>
    <rPh sb="0" eb="2">
      <t>タテグ</t>
    </rPh>
    <rPh sb="3" eb="5">
      <t>シヨウ</t>
    </rPh>
    <rPh sb="6" eb="7">
      <t>ニシ</t>
    </rPh>
    <phoneticPr fontId="2"/>
  </si>
  <si>
    <t>建具の仕様_北西</t>
    <rPh sb="0" eb="2">
      <t>タテグ</t>
    </rPh>
    <rPh sb="3" eb="5">
      <t>シヨウ</t>
    </rPh>
    <rPh sb="6" eb="7">
      <t>キタ</t>
    </rPh>
    <rPh sb="7" eb="8">
      <t>ニシ</t>
    </rPh>
    <phoneticPr fontId="2"/>
  </si>
  <si>
    <t>建具の仕様_屋根床</t>
    <rPh sb="0" eb="2">
      <t>タテグ</t>
    </rPh>
    <rPh sb="3" eb="5">
      <t>シヨウ</t>
    </rPh>
    <rPh sb="6" eb="8">
      <t>ヤネ</t>
    </rPh>
    <rPh sb="8" eb="9">
      <t>ユカ</t>
    </rPh>
    <phoneticPr fontId="2"/>
  </si>
  <si>
    <t>建具の構成_北</t>
    <rPh sb="0" eb="2">
      <t>タテグ</t>
    </rPh>
    <rPh sb="3" eb="5">
      <t>コウセイ</t>
    </rPh>
    <rPh sb="6" eb="7">
      <t>キタ</t>
    </rPh>
    <phoneticPr fontId="2"/>
  </si>
  <si>
    <t>建具の構成_北東</t>
    <rPh sb="0" eb="2">
      <t>タテグ</t>
    </rPh>
    <rPh sb="3" eb="5">
      <t>コウセイ</t>
    </rPh>
    <rPh sb="6" eb="8">
      <t>ホクトウ</t>
    </rPh>
    <phoneticPr fontId="2"/>
  </si>
  <si>
    <t>建具の構成_東</t>
    <rPh sb="0" eb="2">
      <t>タテグ</t>
    </rPh>
    <rPh sb="3" eb="5">
      <t>コウセイ</t>
    </rPh>
    <rPh sb="6" eb="7">
      <t>ヒガシ</t>
    </rPh>
    <phoneticPr fontId="2"/>
  </si>
  <si>
    <t>建具の構成_南東</t>
    <rPh sb="0" eb="2">
      <t>タテグ</t>
    </rPh>
    <rPh sb="3" eb="5">
      <t>コウセイ</t>
    </rPh>
    <rPh sb="6" eb="8">
      <t>ナントウ</t>
    </rPh>
    <phoneticPr fontId="2"/>
  </si>
  <si>
    <t>建具の構成_南西</t>
    <rPh sb="0" eb="2">
      <t>タテグ</t>
    </rPh>
    <rPh sb="3" eb="5">
      <t>コウセイ</t>
    </rPh>
    <rPh sb="6" eb="8">
      <t>ナンセイ</t>
    </rPh>
    <phoneticPr fontId="2"/>
  </si>
  <si>
    <t>建具の構成_西</t>
    <rPh sb="0" eb="2">
      <t>タテグ</t>
    </rPh>
    <rPh sb="3" eb="5">
      <t>コウセイ</t>
    </rPh>
    <rPh sb="6" eb="7">
      <t>ニシ</t>
    </rPh>
    <phoneticPr fontId="2"/>
  </si>
  <si>
    <t>建具の構成_北西</t>
    <rPh sb="0" eb="2">
      <t>タテグ</t>
    </rPh>
    <rPh sb="3" eb="5">
      <t>コウセイ</t>
    </rPh>
    <rPh sb="6" eb="8">
      <t>ホクセイ</t>
    </rPh>
    <phoneticPr fontId="2"/>
  </si>
  <si>
    <t>建具の構成_南</t>
    <rPh sb="0" eb="2">
      <t>タテグ</t>
    </rPh>
    <rPh sb="3" eb="5">
      <t>コウセイ</t>
    </rPh>
    <rPh sb="6" eb="7">
      <t>ミナミ</t>
    </rPh>
    <phoneticPr fontId="2"/>
  </si>
  <si>
    <t>バージョン：ver1.1</t>
    <phoneticPr fontId="2"/>
  </si>
  <si>
    <t>バージョン：ver1.2</t>
    <phoneticPr fontId="2"/>
  </si>
  <si>
    <t>バージョン：ver1.3</t>
    <phoneticPr fontId="2"/>
  </si>
  <si>
    <t xml:space="preserve">
４）</t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</si>
  <si>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</si>
  <si>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</si>
  <si>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</si>
  <si>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</si>
  <si>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（11）</t>
    <phoneticPr fontId="2"/>
  </si>
  <si>
    <t>（13）</t>
    <phoneticPr fontId="2"/>
  </si>
  <si>
    <t>（13）1</t>
    <phoneticPr fontId="2"/>
  </si>
  <si>
    <t>（13）2</t>
    <phoneticPr fontId="2"/>
  </si>
  <si>
    <t>充填断熱（桁上断熱）※1</t>
    <rPh sb="0" eb="2">
      <t>ジュウテン</t>
    </rPh>
    <rPh sb="2" eb="4">
      <t>ダンネツ</t>
    </rPh>
    <phoneticPr fontId="2"/>
  </si>
  <si>
    <t>※2 熱橋とは、構造部材、下地材、窓枠下材その他断熱構造を貫通する部分であって、断熱性能が周囲の部分より劣るものをいう。</t>
    <phoneticPr fontId="2"/>
  </si>
  <si>
    <t>2）パスワードを設定</t>
    <rPh sb="8" eb="10">
      <t>セッテイ</t>
    </rPh>
    <phoneticPr fontId="2"/>
  </si>
  <si>
    <t>1）日射熱取得率の訂正（「木製建具又は樹脂製建具」における単層単板ガラスについて）</t>
    <rPh sb="2" eb="4">
      <t>ニッシャ</t>
    </rPh>
    <rPh sb="4" eb="5">
      <t>ネツ</t>
    </rPh>
    <rPh sb="5" eb="8">
      <t>シュトクリツ</t>
    </rPh>
    <rPh sb="9" eb="11">
      <t>テイセイ</t>
    </rPh>
    <rPh sb="13" eb="15">
      <t>モクセイ</t>
    </rPh>
    <rPh sb="15" eb="17">
      <t>タテグ</t>
    </rPh>
    <rPh sb="17" eb="18">
      <t>マタ</t>
    </rPh>
    <rPh sb="19" eb="21">
      <t>ジュシ</t>
    </rPh>
    <rPh sb="21" eb="22">
      <t>セイ</t>
    </rPh>
    <rPh sb="22" eb="24">
      <t>タテグ</t>
    </rPh>
    <rPh sb="29" eb="31">
      <t>タンソウ</t>
    </rPh>
    <rPh sb="31" eb="32">
      <t>タン</t>
    </rPh>
    <rPh sb="32" eb="33">
      <t>バン</t>
    </rPh>
    <phoneticPr fontId="2"/>
  </si>
  <si>
    <t>1）シート「はじめに（お読みください）」に４）を追加</t>
    <rPh sb="12" eb="13">
      <t>ヨ</t>
    </rPh>
    <rPh sb="24" eb="26">
      <t>ツイカ</t>
    </rPh>
    <phoneticPr fontId="2"/>
  </si>
  <si>
    <t>2）シート「断熱仕様一覧」天井の充填断熱を「充填断熱（桁上断熱）」に修正</t>
    <rPh sb="6" eb="8">
      <t>ダンネツ</t>
    </rPh>
    <rPh sb="8" eb="10">
      <t>シヨウ</t>
    </rPh>
    <rPh sb="10" eb="12">
      <t>イチラン</t>
    </rPh>
    <rPh sb="13" eb="15">
      <t>テンジョウ</t>
    </rPh>
    <rPh sb="16" eb="18">
      <t>ジュウテン</t>
    </rPh>
    <rPh sb="18" eb="20">
      <t>ダンネツ</t>
    </rPh>
    <rPh sb="22" eb="24">
      <t>ジュウテン</t>
    </rPh>
    <rPh sb="24" eb="26">
      <t>ダンネツ</t>
    </rPh>
    <rPh sb="27" eb="28">
      <t>ケタ</t>
    </rPh>
    <rPh sb="28" eb="29">
      <t>ウエ</t>
    </rPh>
    <rPh sb="29" eb="31">
      <t>ダンネツ</t>
    </rPh>
    <rPh sb="34" eb="36">
      <t>シュウセイ</t>
    </rPh>
    <phoneticPr fontId="2"/>
  </si>
  <si>
    <t>4）シート「Ａ（北・東面）」ガラスの仕様プルダウンメニューを修正（20：、21：G7→G8に修正）</t>
    <rPh sb="8" eb="9">
      <t>キタ</t>
    </rPh>
    <rPh sb="10" eb="11">
      <t>ヒガシ</t>
    </rPh>
    <rPh sb="11" eb="12">
      <t>メン</t>
    </rPh>
    <rPh sb="18" eb="20">
      <t>シヨウ</t>
    </rPh>
    <rPh sb="30" eb="32">
      <t>シュウセイ</t>
    </rPh>
    <rPh sb="46" eb="48">
      <t>シュウセイ</t>
    </rPh>
    <phoneticPr fontId="2"/>
  </si>
  <si>
    <t>5）シート「Ｃ（基礎）」基礎の線熱貫流率計算式番号の修正</t>
    <rPh sb="8" eb="10">
      <t>キソ</t>
    </rPh>
    <rPh sb="12" eb="14">
      <t>キソ</t>
    </rPh>
    <rPh sb="15" eb="16">
      <t>セン</t>
    </rPh>
    <rPh sb="16" eb="17">
      <t>ネツ</t>
    </rPh>
    <rPh sb="17" eb="19">
      <t>カンリュウ</t>
    </rPh>
    <rPh sb="19" eb="20">
      <t>リツ</t>
    </rPh>
    <rPh sb="20" eb="22">
      <t>ケイサン</t>
    </rPh>
    <rPh sb="22" eb="23">
      <t>シキ</t>
    </rPh>
    <rPh sb="23" eb="25">
      <t>バンゴウ</t>
    </rPh>
    <rPh sb="26" eb="28">
      <t>シュウセイ</t>
    </rPh>
    <phoneticPr fontId="2"/>
  </si>
  <si>
    <t>※1 充填断熱（桁上断熱）とは、天井と屋根の間の空隙部分に、横架材などによる熱橋部※2 が生じないよう断熱材を充填又は敷設する断熱工法をいう。</t>
    <rPh sb="57" eb="58">
      <t>マタ</t>
    </rPh>
    <phoneticPr fontId="2"/>
  </si>
  <si>
    <t>3）シート「Ａ（各面）」データの入力規則を修正</t>
    <rPh sb="8" eb="10">
      <t>カクメン</t>
    </rPh>
    <rPh sb="16" eb="18">
      <t>ニュウリョク</t>
    </rPh>
    <rPh sb="18" eb="20">
      <t>キソク</t>
    </rPh>
    <rPh sb="21" eb="23">
      <t>シュウセイ</t>
    </rPh>
    <phoneticPr fontId="2"/>
  </si>
  <si>
    <t xml:space="preserve">　
本エクセル計算シートは、バージョンによっては開く又は保存すると、一部の機能が失われるか、正常に実行されなくなる可能性があります。
</t>
    <rPh sb="2" eb="3">
      <t>ホン</t>
    </rPh>
    <rPh sb="7" eb="9">
      <t>ケイサン</t>
    </rPh>
    <rPh sb="24" eb="25">
      <t>ヒラ</t>
    </rPh>
    <rPh sb="26" eb="27">
      <t>マタ</t>
    </rPh>
    <rPh sb="28" eb="30">
      <t>ホゾン</t>
    </rPh>
    <rPh sb="34" eb="36">
      <t>イチブ</t>
    </rPh>
    <rPh sb="37" eb="39">
      <t>キノウ</t>
    </rPh>
    <rPh sb="40" eb="41">
      <t>ウシナ</t>
    </rPh>
    <rPh sb="46" eb="48">
      <t>セイジョウ</t>
    </rPh>
    <rPh sb="49" eb="51">
      <t>ジッコウ</t>
    </rPh>
    <rPh sb="57" eb="60">
      <t>カノウセイ</t>
    </rPh>
    <phoneticPr fontId="2"/>
  </si>
  <si>
    <t>バージョン：ver1.4</t>
    <phoneticPr fontId="2"/>
  </si>
  <si>
    <t>1）シート「はじめに（お読みください）」を追加　　2018/08/29</t>
    <rPh sb="12" eb="13">
      <t>ヨ</t>
    </rPh>
    <rPh sb="21" eb="23">
      <t>ツイカ</t>
    </rPh>
    <phoneticPr fontId="2"/>
  </si>
  <si>
    <t>本バージョン：ver1.5</t>
    <rPh sb="0" eb="1">
      <t>ホン</t>
    </rPh>
    <phoneticPr fontId="2"/>
  </si>
  <si>
    <t>1）シート「共通条件・結果」8地域の冷房期の平均日射熱取得率基準値の変更　2020/4/1</t>
    <rPh sb="6" eb="10">
      <t>キョウツウジョウケン</t>
    </rPh>
    <rPh sb="11" eb="13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</si>
</sst>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"/>
    <numFmt numFmtId="177" formatCode="0.00_);[Red]\(0.00\)"/>
    <numFmt numFmtId="178" formatCode="0.0"/>
    <numFmt numFmtId="179" formatCode="0.000_ "/>
    <numFmt numFmtId="180" formatCode="0.00_ "/>
    <numFmt numFmtId="181" formatCode="0.0_ "/>
    <numFmt numFmtId="182" formatCode="0.00;_̀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20"/>
      <name val="HG丸ｺﾞｼｯｸM-PRO"/>
      <family val="3"/>
      <charset val="128"/>
    </font>
    <font>
      <vertAlign val="subscript"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2"/>
      <color rgb="FFFF0000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" fillId="0" borderId="0">
      <alignment vertical="center"/>
    </xf>
    <xf numFmtId="0" fontId="16" fillId="0" borderId="0"/>
    <xf numFmtId="0" fontId="1" fillId="0" borderId="0"/>
  </cellStyleXfs>
  <cellXfs count="7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6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" fontId="0" fillId="0" borderId="0" xfId="1" applyNumberFormat="1" applyFont="1" applyBorder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Alignment="1"/>
    <xf numFmtId="0" fontId="3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180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2" fontId="7" fillId="0" borderId="0" xfId="5" applyNumberFormat="1" applyFont="1" applyFill="1" applyBorder="1" applyAlignment="1" applyProtection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2" fontId="7" fillId="0" borderId="0" xfId="5" applyNumberFormat="1" applyFont="1" applyFill="1" applyBorder="1" applyAlignment="1" applyProtection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22" fillId="0" borderId="29" xfId="0" applyNumberFormat="1" applyFont="1" applyFill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176" fontId="22" fillId="0" borderId="31" xfId="0" applyNumberFormat="1" applyFont="1" applyFill="1" applyBorder="1" applyAlignment="1">
      <alignment horizontal="center" vertical="center"/>
    </xf>
    <xf numFmtId="176" fontId="22" fillId="0" borderId="32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0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0" fillId="0" borderId="25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22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2" fontId="8" fillId="7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36" xfId="0" applyFont="1" applyFill="1" applyBorder="1" applyAlignment="1" applyProtection="1">
      <alignment vertical="center" wrapText="1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7" fillId="7" borderId="18" xfId="0" applyFont="1" applyFill="1" applyBorder="1" applyAlignment="1" applyProtection="1">
      <alignment horizontal="center" vertical="center" wrapText="1"/>
      <protection locked="0"/>
    </xf>
    <xf numFmtId="0" fontId="7" fillId="7" borderId="38" xfId="0" applyFont="1" applyFill="1" applyBorder="1" applyAlignment="1" applyProtection="1">
      <alignment vertical="center" wrapText="1"/>
      <protection locked="0"/>
    </xf>
    <xf numFmtId="0" fontId="7" fillId="7" borderId="39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1" xfId="0" applyFont="1" applyFill="1" applyBorder="1" applyAlignment="1" applyProtection="1">
      <alignment vertical="center" wrapText="1"/>
      <protection locked="0"/>
    </xf>
    <xf numFmtId="0" fontId="7" fillId="7" borderId="42" xfId="0" applyFont="1" applyFill="1" applyBorder="1" applyAlignment="1" applyProtection="1">
      <alignment horizontal="center" vertical="center" wrapText="1"/>
      <protection locked="0"/>
    </xf>
    <xf numFmtId="0" fontId="7" fillId="7" borderId="43" xfId="0" applyFont="1" applyFill="1" applyBorder="1" applyAlignment="1" applyProtection="1">
      <alignment vertical="center" wrapText="1"/>
      <protection locked="0"/>
    </xf>
    <xf numFmtId="0" fontId="7" fillId="7" borderId="44" xfId="0" applyFont="1" applyFill="1" applyBorder="1" applyAlignment="1" applyProtection="1">
      <alignment horizontal="center" vertical="center" wrapText="1"/>
      <protection locked="0"/>
    </xf>
    <xf numFmtId="0" fontId="7" fillId="7" borderId="45" xfId="0" applyFont="1" applyFill="1" applyBorder="1" applyAlignment="1" applyProtection="1">
      <alignment horizontal="center" vertical="center" wrapText="1"/>
      <protection locked="0"/>
    </xf>
    <xf numFmtId="0" fontId="7" fillId="7" borderId="46" xfId="0" applyFont="1" applyFill="1" applyBorder="1" applyAlignment="1" applyProtection="1">
      <alignment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0" fontId="3" fillId="7" borderId="50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5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10" borderId="69" xfId="0" applyFill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" borderId="119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176" fontId="0" fillId="0" borderId="33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3" borderId="33" xfId="0" applyNumberFormat="1" applyFill="1" applyBorder="1" applyAlignment="1">
      <alignment horizontal="center" vertical="center"/>
    </xf>
    <xf numFmtId="176" fontId="0" fillId="3" borderId="29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34" xfId="0" applyFill="1" applyBorder="1" applyAlignment="1">
      <alignment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176" fontId="0" fillId="0" borderId="32" xfId="0" applyNumberFormat="1" applyFill="1" applyBorder="1" applyAlignment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176" fontId="3" fillId="0" borderId="0" xfId="2" applyNumberFormat="1" applyFont="1" applyFill="1" applyBorder="1" applyAlignment="1" applyProtection="1">
      <alignment vertical="center"/>
    </xf>
    <xf numFmtId="176" fontId="22" fillId="0" borderId="0" xfId="0" applyNumberFormat="1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30" xfId="0" applyFont="1" applyBorder="1" applyAlignment="1">
      <alignment vertical="center"/>
    </xf>
    <xf numFmtId="0" fontId="0" fillId="0" borderId="128" xfId="0" applyFont="1" applyBorder="1" applyAlignment="1">
      <alignment vertical="center"/>
    </xf>
    <xf numFmtId="179" fontId="0" fillId="0" borderId="144" xfId="0" applyNumberFormat="1" applyFont="1" applyBorder="1" applyAlignment="1">
      <alignment horizontal="center" vertical="center"/>
    </xf>
    <xf numFmtId="179" fontId="0" fillId="0" borderId="132" xfId="0" applyNumberFormat="1" applyFont="1" applyBorder="1" applyAlignment="1">
      <alignment horizontal="center" vertical="center"/>
    </xf>
    <xf numFmtId="179" fontId="0" fillId="0" borderId="146" xfId="0" applyNumberFormat="1" applyFont="1" applyBorder="1" applyAlignment="1">
      <alignment horizontal="center" vertical="center"/>
    </xf>
    <xf numFmtId="179" fontId="0" fillId="0" borderId="145" xfId="0" applyNumberFormat="1" applyFont="1" applyBorder="1" applyAlignment="1">
      <alignment horizontal="center" vertical="center"/>
    </xf>
    <xf numFmtId="179" fontId="0" fillId="0" borderId="137" xfId="0" applyNumberFormat="1" applyFont="1" applyBorder="1" applyAlignment="1">
      <alignment horizontal="center" vertical="center"/>
    </xf>
    <xf numFmtId="0" fontId="0" fillId="3" borderId="34" xfId="0" applyFont="1" applyFill="1" applyBorder="1" applyAlignment="1">
      <alignment vertical="center"/>
    </xf>
    <xf numFmtId="179" fontId="0" fillId="3" borderId="13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57" xfId="0" applyFont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" fillId="0" borderId="18" xfId="1" applyNumberFormat="1" applyFont="1" applyFill="1" applyBorder="1" applyAlignment="1"/>
    <xf numFmtId="2" fontId="0" fillId="0" borderId="25" xfId="0" applyNumberFormat="1" applyBorder="1"/>
    <xf numFmtId="2" fontId="0" fillId="0" borderId="25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vertical="top" wrapText="1"/>
    </xf>
    <xf numFmtId="182" fontId="3" fillId="0" borderId="0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7" fillId="3" borderId="25" xfId="0" applyFont="1" applyFill="1" applyBorder="1" applyAlignment="1">
      <alignment vertical="center"/>
    </xf>
    <xf numFmtId="0" fontId="17" fillId="4" borderId="25" xfId="0" applyFont="1" applyFill="1" applyBorder="1" applyAlignment="1">
      <alignment vertical="center"/>
    </xf>
    <xf numFmtId="0" fontId="17" fillId="5" borderId="25" xfId="0" applyFont="1" applyFill="1" applyBorder="1" applyAlignment="1">
      <alignment vertical="center"/>
    </xf>
    <xf numFmtId="0" fontId="17" fillId="6" borderId="25" xfId="0" applyFont="1" applyFill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180" fontId="17" fillId="0" borderId="25" xfId="0" applyNumberFormat="1" applyFont="1" applyFill="1" applyBorder="1" applyAlignment="1" applyProtection="1">
      <alignment horizontal="center" vertical="center"/>
    </xf>
    <xf numFmtId="0" fontId="2" fillId="0" borderId="25" xfId="0" applyFont="1" applyBorder="1"/>
    <xf numFmtId="0" fontId="2" fillId="0" borderId="25" xfId="0" applyFont="1" applyBorder="1" applyAlignment="1">
      <alignment vertical="center"/>
    </xf>
    <xf numFmtId="18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3" fillId="0" borderId="150" xfId="0" applyNumberFormat="1" applyFont="1" applyBorder="1" applyAlignment="1">
      <alignment vertical="center"/>
    </xf>
    <xf numFmtId="2" fontId="3" fillId="0" borderId="151" xfId="0" applyNumberFormat="1" applyFont="1" applyBorder="1" applyAlignment="1">
      <alignment vertical="center"/>
    </xf>
    <xf numFmtId="2" fontId="3" fillId="0" borderId="101" xfId="0" applyNumberFormat="1" applyFont="1" applyBorder="1" applyAlignment="1">
      <alignment vertical="center"/>
    </xf>
    <xf numFmtId="2" fontId="3" fillId="0" borderId="102" xfId="0" applyNumberFormat="1" applyFont="1" applyBorder="1" applyAlignment="1">
      <alignment vertical="center"/>
    </xf>
    <xf numFmtId="2" fontId="3" fillId="0" borderId="152" xfId="0" applyNumberFormat="1" applyFont="1" applyBorder="1" applyAlignment="1">
      <alignment vertical="center"/>
    </xf>
    <xf numFmtId="2" fontId="3" fillId="0" borderId="153" xfId="0" applyNumberFormat="1" applyFont="1" applyBorder="1" applyAlignment="1">
      <alignment vertical="center"/>
    </xf>
    <xf numFmtId="0" fontId="3" fillId="0" borderId="15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152" xfId="0" applyFont="1" applyBorder="1" applyAlignment="1">
      <alignment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vertical="center"/>
    </xf>
    <xf numFmtId="2" fontId="3" fillId="0" borderId="155" xfId="0" applyNumberFormat="1" applyFont="1" applyBorder="1" applyAlignment="1">
      <alignment vertical="center"/>
    </xf>
    <xf numFmtId="2" fontId="3" fillId="0" borderId="156" xfId="0" applyNumberFormat="1" applyFont="1" applyBorder="1" applyAlignment="1">
      <alignment vertical="center"/>
    </xf>
    <xf numFmtId="0" fontId="29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left" vertical="center" wrapText="1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0" fontId="7" fillId="0" borderId="0" xfId="0" applyFont="1" applyFill="1" applyAlignment="1">
      <alignment vertical="center"/>
    </xf>
    <xf numFmtId="178" fontId="31" fillId="0" borderId="25" xfId="0" applyNumberFormat="1" applyFont="1" applyBorder="1" applyAlignment="1">
      <alignment horizontal="center" vertical="center"/>
    </xf>
    <xf numFmtId="14" fontId="0" fillId="0" borderId="0" xfId="0" applyNumberFormat="1"/>
    <xf numFmtId="0" fontId="29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right" vertical="center"/>
    </xf>
    <xf numFmtId="0" fontId="1" fillId="2" borderId="15" xfId="1" applyNumberFormat="1" applyFont="1" applyFill="1" applyBorder="1"/>
    <xf numFmtId="0" fontId="24" fillId="0" borderId="5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81" fontId="6" fillId="0" borderId="55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7" borderId="4" xfId="0" applyFont="1" applyFill="1" applyBorder="1" applyAlignment="1" applyProtection="1">
      <alignment vertical="center"/>
      <protection locked="0"/>
    </xf>
    <xf numFmtId="0" fontId="8" fillId="7" borderId="58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2" borderId="7" xfId="1" applyNumberFormat="1" applyFont="1" applyFill="1" applyBorder="1" applyAlignment="1">
      <alignment horizontal="right" vertical="center"/>
    </xf>
    <xf numFmtId="0" fontId="6" fillId="2" borderId="5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6" fillId="2" borderId="50" xfId="1" applyNumberFormat="1" applyFont="1" applyFill="1" applyBorder="1" applyAlignment="1">
      <alignment horizontal="right" vertical="center"/>
    </xf>
    <xf numFmtId="0" fontId="1" fillId="2" borderId="18" xfId="1" applyNumberFormat="1" applyFont="1" applyFill="1" applyBorder="1"/>
    <xf numFmtId="0" fontId="3" fillId="8" borderId="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2" borderId="15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7" borderId="5" xfId="0" applyFont="1" applyFill="1" applyBorder="1" applyAlignment="1" applyProtection="1">
      <alignment vertical="center"/>
      <protection locked="0"/>
    </xf>
    <xf numFmtId="0" fontId="8" fillId="7" borderId="17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0" borderId="6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 wrapText="1"/>
    </xf>
    <xf numFmtId="176" fontId="7" fillId="0" borderId="70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63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56" xfId="0" applyNumberFormat="1" applyFont="1" applyBorder="1" applyAlignment="1" applyProtection="1">
      <alignment horizontal="center" vertical="center"/>
    </xf>
    <xf numFmtId="180" fontId="3" fillId="0" borderId="69" xfId="0" applyNumberFormat="1" applyFont="1" applyBorder="1" applyAlignment="1" applyProtection="1">
      <alignment horizontal="center" vertical="center"/>
    </xf>
    <xf numFmtId="180" fontId="3" fillId="0" borderId="34" xfId="0" applyNumberFormat="1" applyFont="1" applyBorder="1" applyAlignment="1" applyProtection="1">
      <alignment horizontal="center" vertical="center"/>
    </xf>
    <xf numFmtId="180" fontId="3" fillId="0" borderId="29" xfId="0" applyNumberFormat="1" applyFont="1" applyBorder="1" applyAlignment="1" applyProtection="1">
      <alignment horizontal="center" vertical="center"/>
    </xf>
    <xf numFmtId="180" fontId="3" fillId="0" borderId="81" xfId="0" applyNumberFormat="1" applyFont="1" applyBorder="1" applyAlignment="1" applyProtection="1">
      <alignment horizontal="center" vertical="center"/>
    </xf>
    <xf numFmtId="180" fontId="3" fillId="0" borderId="82" xfId="0" applyNumberFormat="1" applyFont="1" applyBorder="1" applyAlignment="1" applyProtection="1">
      <alignment horizontal="center" vertical="center"/>
    </xf>
    <xf numFmtId="0" fontId="22" fillId="7" borderId="90" xfId="0" applyFont="1" applyFill="1" applyBorder="1" applyAlignment="1" applyProtection="1">
      <alignment horizontal="center" vertical="center"/>
    </xf>
    <xf numFmtId="0" fontId="22" fillId="7" borderId="91" xfId="0" applyFont="1" applyFill="1" applyBorder="1" applyAlignment="1" applyProtection="1">
      <alignment horizontal="center" vertical="center"/>
    </xf>
    <xf numFmtId="180" fontId="3" fillId="0" borderId="92" xfId="0" applyNumberFormat="1" applyFont="1" applyBorder="1" applyAlignment="1" applyProtection="1">
      <alignment horizontal="center" vertical="center"/>
    </xf>
    <xf numFmtId="180" fontId="3" fillId="0" borderId="93" xfId="0" applyNumberFormat="1" applyFont="1" applyBorder="1" applyAlignment="1" applyProtection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2" fontId="17" fillId="7" borderId="76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97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37" xfId="1" applyNumberFormat="1" applyFont="1" applyFill="1" applyBorder="1" applyAlignment="1" applyProtection="1">
      <alignment horizontal="left" vertical="center" wrapText="1"/>
      <protection locked="0"/>
    </xf>
    <xf numFmtId="180" fontId="3" fillId="0" borderId="49" xfId="0" applyNumberFormat="1" applyFont="1" applyBorder="1" applyAlignment="1" applyProtection="1">
      <alignment horizontal="center" vertical="center"/>
    </xf>
    <xf numFmtId="0" fontId="7" fillId="7" borderId="34" xfId="0" applyFont="1" applyFill="1" applyBorder="1" applyAlignment="1" applyProtection="1">
      <alignment horizontal="center" vertical="center"/>
      <protection locked="0"/>
    </xf>
    <xf numFmtId="0" fontId="7" fillId="7" borderId="89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98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78" xfId="0" applyNumberFormat="1" applyFont="1" applyBorder="1" applyAlignment="1" applyProtection="1">
      <alignment horizontal="center" vertical="center"/>
    </xf>
    <xf numFmtId="180" fontId="3" fillId="0" borderId="39" xfId="0" applyNumberFormat="1" applyFont="1" applyBorder="1" applyAlignment="1" applyProtection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176" fontId="22" fillId="0" borderId="72" xfId="0" applyNumberFormat="1" applyFont="1" applyFill="1" applyBorder="1" applyAlignment="1" applyProtection="1">
      <alignment horizontal="center" vertical="center"/>
    </xf>
    <xf numFmtId="176" fontId="22" fillId="0" borderId="22" xfId="0" applyNumberFormat="1" applyFont="1" applyFill="1" applyBorder="1" applyAlignment="1" applyProtection="1">
      <alignment horizontal="center" vertical="center"/>
    </xf>
    <xf numFmtId="0" fontId="7" fillId="7" borderId="75" xfId="0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/>
      <protection locked="0"/>
    </xf>
    <xf numFmtId="180" fontId="3" fillId="0" borderId="32" xfId="0" applyNumberFormat="1" applyFont="1" applyBorder="1" applyAlignment="1" applyProtection="1">
      <alignment horizontal="center" vertical="center"/>
    </xf>
    <xf numFmtId="180" fontId="3" fillId="0" borderId="83" xfId="0" applyNumberFormat="1" applyFont="1" applyBorder="1" applyAlignment="1" applyProtection="1">
      <alignment horizontal="center" vertical="center"/>
    </xf>
    <xf numFmtId="180" fontId="3" fillId="0" borderId="84" xfId="0" applyNumberFormat="1" applyFont="1" applyBorder="1" applyAlignment="1" applyProtection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7" fillId="7" borderId="46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4" xfId="0" applyNumberFormat="1" applyFont="1" applyBorder="1" applyAlignment="1" applyProtection="1">
      <alignment horizontal="center" vertical="center"/>
    </xf>
    <xf numFmtId="0" fontId="7" fillId="7" borderId="76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37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76" xfId="0" applyNumberFormat="1" applyFont="1" applyFill="1" applyBorder="1" applyAlignment="1" applyProtection="1">
      <alignment horizontal="center" vertical="center"/>
    </xf>
    <xf numFmtId="180" fontId="3" fillId="0" borderId="37" xfId="0" applyNumberFormat="1" applyFont="1" applyFill="1" applyBorder="1" applyAlignment="1" applyProtection="1">
      <alignment horizontal="center" vertical="center"/>
    </xf>
    <xf numFmtId="180" fontId="3" fillId="0" borderId="5" xfId="0" applyNumberFormat="1" applyFont="1" applyBorder="1" applyAlignment="1" applyProtection="1">
      <alignment horizontal="center" vertical="center"/>
    </xf>
    <xf numFmtId="180" fontId="26" fillId="2" borderId="5" xfId="0" applyNumberFormat="1" applyFont="1" applyFill="1" applyBorder="1" applyAlignment="1" applyProtection="1">
      <alignment horizontal="center" vertical="center"/>
    </xf>
    <xf numFmtId="2" fontId="17" fillId="7" borderId="80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99" xfId="1" applyNumberFormat="1" applyFont="1" applyFill="1" applyBorder="1" applyAlignment="1" applyProtection="1">
      <alignment horizontal="left" vertical="center" wrapText="1"/>
      <protection locked="0"/>
    </xf>
    <xf numFmtId="2" fontId="17" fillId="7" borderId="47" xfId="1" applyNumberFormat="1" applyFont="1" applyFill="1" applyBorder="1" applyAlignment="1" applyProtection="1">
      <alignment horizontal="left" vertical="center" wrapText="1"/>
      <protection locked="0"/>
    </xf>
    <xf numFmtId="176" fontId="22" fillId="0" borderId="78" xfId="0" applyNumberFormat="1" applyFont="1" applyFill="1" applyBorder="1" applyAlignment="1" applyProtection="1">
      <alignment horizontal="center" vertical="center"/>
    </xf>
    <xf numFmtId="176" fontId="22" fillId="0" borderId="39" xfId="0" applyNumberFormat="1" applyFont="1" applyFill="1" applyBorder="1" applyAlignment="1" applyProtection="1">
      <alignment horizontal="center" vertical="center"/>
    </xf>
    <xf numFmtId="0" fontId="7" fillId="7" borderId="79" xfId="0" applyFont="1" applyFill="1" applyBorder="1" applyAlignment="1" applyProtection="1">
      <alignment horizontal="center" vertical="center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22" fillId="7" borderId="72" xfId="0" applyFont="1" applyFill="1" applyBorder="1" applyAlignment="1" applyProtection="1">
      <alignment horizontal="center" vertical="center"/>
    </xf>
    <xf numFmtId="0" fontId="22" fillId="7" borderId="22" xfId="0" applyFont="1" applyFill="1" applyBorder="1" applyAlignment="1" applyProtection="1">
      <alignment horizontal="center" vertical="center"/>
    </xf>
    <xf numFmtId="0" fontId="22" fillId="7" borderId="78" xfId="0" applyFont="1" applyFill="1" applyBorder="1" applyAlignment="1" applyProtection="1">
      <alignment horizontal="center" vertical="center"/>
    </xf>
    <xf numFmtId="0" fontId="22" fillId="7" borderId="39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7" borderId="78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39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78" xfId="0" applyNumberFormat="1" applyFont="1" applyFill="1" applyBorder="1" applyAlignment="1" applyProtection="1">
      <alignment horizontal="center" vertical="center"/>
    </xf>
    <xf numFmtId="180" fontId="3" fillId="0" borderId="39" xfId="0" applyNumberFormat="1" applyFont="1" applyFill="1" applyBorder="1" applyAlignment="1" applyProtection="1">
      <alignment horizontal="center" vertical="center"/>
    </xf>
    <xf numFmtId="0" fontId="7" fillId="7" borderId="77" xfId="0" applyFont="1" applyFill="1" applyBorder="1" applyAlignment="1" applyProtection="1">
      <alignment horizontal="center" vertical="center"/>
      <protection locked="0"/>
    </xf>
    <xf numFmtId="0" fontId="7" fillId="7" borderId="39" xfId="0" applyFont="1" applyFill="1" applyBorder="1" applyAlignment="1" applyProtection="1">
      <alignment horizontal="center" vertical="center"/>
      <protection locked="0"/>
    </xf>
    <xf numFmtId="0" fontId="7" fillId="7" borderId="80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47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80" xfId="0" applyFont="1" applyFill="1" applyBorder="1" applyAlignment="1" applyProtection="1">
      <alignment horizontal="center" vertical="center"/>
    </xf>
    <xf numFmtId="0" fontId="3" fillId="7" borderId="100" xfId="0" applyFont="1" applyFill="1" applyBorder="1" applyAlignment="1" applyProtection="1">
      <alignment horizontal="center" vertical="center"/>
    </xf>
    <xf numFmtId="2" fontId="7" fillId="9" borderId="39" xfId="1" applyNumberFormat="1" applyFont="1" applyFill="1" applyBorder="1" applyAlignment="1" applyProtection="1">
      <alignment horizontal="center" vertical="center"/>
      <protection locked="0"/>
    </xf>
    <xf numFmtId="2" fontId="7" fillId="9" borderId="78" xfId="1" applyNumberFormat="1" applyFont="1" applyFill="1" applyBorder="1" applyAlignment="1" applyProtection="1">
      <alignment horizontal="center" vertical="center"/>
      <protection locked="0"/>
    </xf>
    <xf numFmtId="2" fontId="7" fillId="9" borderId="102" xfId="1" applyNumberFormat="1" applyFont="1" applyFill="1" applyBorder="1" applyAlignment="1" applyProtection="1">
      <alignment horizontal="center" vertical="center"/>
      <protection locked="0"/>
    </xf>
    <xf numFmtId="2" fontId="7" fillId="9" borderId="38" xfId="1" applyNumberFormat="1" applyFont="1" applyFill="1" applyBorder="1" applyAlignment="1" applyProtection="1">
      <alignment horizontal="center" vertical="center"/>
      <protection locked="0"/>
    </xf>
    <xf numFmtId="0" fontId="17" fillId="7" borderId="76" xfId="0" applyFont="1" applyFill="1" applyBorder="1" applyAlignment="1" applyProtection="1">
      <alignment horizontal="left" vertical="center" wrapText="1" shrinkToFit="1"/>
      <protection locked="0"/>
    </xf>
    <xf numFmtId="0" fontId="17" fillId="7" borderId="37" xfId="0" applyFont="1" applyFill="1" applyBorder="1" applyAlignment="1" applyProtection="1">
      <alignment horizontal="left" vertical="center" wrapText="1" shrinkToFit="1"/>
      <protection locked="0"/>
    </xf>
    <xf numFmtId="0" fontId="17" fillId="7" borderId="76" xfId="0" applyFont="1" applyFill="1" applyBorder="1" applyAlignment="1" applyProtection="1">
      <alignment horizontal="left" vertical="center" wrapText="1"/>
      <protection locked="0"/>
    </xf>
    <xf numFmtId="0" fontId="17" fillId="7" borderId="37" xfId="0" applyFont="1" applyFill="1" applyBorder="1" applyAlignment="1" applyProtection="1">
      <alignment horizontal="left" vertical="center" wrapText="1"/>
      <protection locked="0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180" fontId="3" fillId="0" borderId="15" xfId="0" applyNumberFormat="1" applyFont="1" applyBorder="1" applyAlignment="1" applyProtection="1">
      <alignment horizontal="center" vertical="center"/>
    </xf>
    <xf numFmtId="180" fontId="3" fillId="0" borderId="80" xfId="0" applyNumberFormat="1" applyFont="1" applyFill="1" applyBorder="1" applyAlignment="1" applyProtection="1">
      <alignment horizontal="center" vertical="center"/>
    </xf>
    <xf numFmtId="180" fontId="3" fillId="0" borderId="47" xfId="0" applyNumberFormat="1" applyFont="1" applyFill="1" applyBorder="1" applyAlignment="1" applyProtection="1">
      <alignment horizontal="center" vertical="center"/>
    </xf>
    <xf numFmtId="0" fontId="22" fillId="0" borderId="90" xfId="0" applyFont="1" applyFill="1" applyBorder="1" applyAlignment="1" applyProtection="1">
      <alignment horizontal="center" vertical="center"/>
    </xf>
    <xf numFmtId="0" fontId="22" fillId="0" borderId="91" xfId="0" applyFont="1" applyFill="1" applyBorder="1" applyAlignment="1" applyProtection="1">
      <alignment horizontal="center" vertical="center"/>
    </xf>
    <xf numFmtId="0" fontId="7" fillId="7" borderId="101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2" xfId="0" applyNumberFormat="1" applyFont="1" applyFill="1" applyBorder="1" applyAlignment="1" applyProtection="1">
      <alignment horizontal="center" vertical="center" shrinkToFit="1"/>
      <protection locked="0"/>
    </xf>
    <xf numFmtId="2" fontId="7" fillId="9" borderId="106" xfId="1" applyNumberFormat="1" applyFont="1" applyFill="1" applyBorder="1" applyAlignment="1" applyProtection="1">
      <alignment horizontal="center" vertical="center"/>
      <protection locked="0"/>
    </xf>
    <xf numFmtId="2" fontId="7" fillId="9" borderId="107" xfId="1" applyNumberFormat="1" applyFont="1" applyFill="1" applyBorder="1" applyAlignment="1" applyProtection="1">
      <alignment horizontal="center" vertical="center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7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74" xfId="0" applyFont="1" applyFill="1" applyBorder="1" applyAlignment="1">
      <alignment horizontal="center" vertical="center" wrapText="1" shrinkToFit="1"/>
    </xf>
    <xf numFmtId="0" fontId="8" fillId="2" borderId="94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2" fontId="7" fillId="9" borderId="91" xfId="1" applyNumberFormat="1" applyFont="1" applyFill="1" applyBorder="1" applyAlignment="1" applyProtection="1">
      <alignment horizontal="center" vertical="center"/>
      <protection locked="0"/>
    </xf>
    <xf numFmtId="2" fontId="7" fillId="9" borderId="90" xfId="1" applyNumberFormat="1" applyFont="1" applyFill="1" applyBorder="1" applyAlignment="1" applyProtection="1">
      <alignment horizontal="center" vertical="center"/>
      <protection locked="0"/>
    </xf>
    <xf numFmtId="2" fontId="7" fillId="9" borderId="108" xfId="1" applyNumberFormat="1" applyFont="1" applyFill="1" applyBorder="1" applyAlignment="1" applyProtection="1">
      <alignment horizontal="center" vertical="center"/>
      <protection locked="0"/>
    </xf>
    <xf numFmtId="2" fontId="7" fillId="9" borderId="109" xfId="1" applyNumberFormat="1" applyFont="1" applyFill="1" applyBorder="1" applyAlignment="1" applyProtection="1">
      <alignment horizontal="center" vertical="center"/>
      <protection locked="0"/>
    </xf>
    <xf numFmtId="0" fontId="7" fillId="7" borderId="77" xfId="0" applyFont="1" applyFill="1" applyBorder="1" applyAlignment="1" applyProtection="1">
      <alignment vertical="center"/>
      <protection locked="0"/>
    </xf>
    <xf numFmtId="0" fontId="8" fillId="7" borderId="39" xfId="0" applyFont="1" applyFill="1" applyBorder="1" applyAlignment="1" applyProtection="1">
      <alignment vertical="center"/>
      <protection locked="0"/>
    </xf>
    <xf numFmtId="0" fontId="13" fillId="0" borderId="50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177" fontId="3" fillId="0" borderId="5" xfId="0" applyNumberFormat="1" applyFont="1" applyBorder="1" applyAlignment="1" applyProtection="1">
      <alignment horizontal="center" vertical="center"/>
    </xf>
    <xf numFmtId="0" fontId="7" fillId="7" borderId="79" xfId="0" applyFont="1" applyFill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3" fillId="0" borderId="85" xfId="0" applyFont="1" applyFill="1" applyBorder="1" applyAlignment="1">
      <alignment horizontal="center" vertical="center" wrapText="1"/>
    </xf>
    <xf numFmtId="0" fontId="17" fillId="7" borderId="80" xfId="0" applyFont="1" applyFill="1" applyBorder="1" applyAlignment="1" applyProtection="1">
      <alignment horizontal="left" vertical="center" wrapText="1"/>
      <protection locked="0"/>
    </xf>
    <xf numFmtId="0" fontId="17" fillId="7" borderId="47" xfId="0" applyFont="1" applyFill="1" applyBorder="1" applyAlignment="1" applyProtection="1">
      <alignment horizontal="left" vertical="center" wrapText="1"/>
      <protection locked="0"/>
    </xf>
    <xf numFmtId="0" fontId="7" fillId="7" borderId="92" xfId="0" applyFont="1" applyFill="1" applyBorder="1" applyAlignment="1" applyProtection="1">
      <alignment horizontal="center" vertical="center" wrapText="1"/>
      <protection locked="0"/>
    </xf>
    <xf numFmtId="0" fontId="3" fillId="0" borderId="103" xfId="0" applyFont="1" applyFill="1" applyBorder="1" applyAlignment="1">
      <alignment horizontal="center" vertical="center"/>
    </xf>
    <xf numFmtId="0" fontId="7" fillId="7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4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5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92" xfId="0" applyFont="1" applyFill="1" applyBorder="1" applyAlignment="1" applyProtection="1">
      <alignment horizontal="center" vertical="center"/>
      <protection locked="0"/>
    </xf>
    <xf numFmtId="180" fontId="3" fillId="0" borderId="92" xfId="0" applyNumberFormat="1" applyFont="1" applyFill="1" applyBorder="1" applyAlignment="1" applyProtection="1">
      <alignment horizontal="center" vertical="center"/>
    </xf>
    <xf numFmtId="38" fontId="3" fillId="0" borderId="55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7" fillId="7" borderId="3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78" xfId="0" applyFont="1" applyFill="1" applyBorder="1" applyAlignment="1" applyProtection="1">
      <alignment horizontal="left" vertical="center" wrapText="1"/>
      <protection locked="0"/>
    </xf>
    <xf numFmtId="0" fontId="17" fillId="7" borderId="39" xfId="0" applyFont="1" applyFill="1" applyBorder="1" applyAlignment="1" applyProtection="1">
      <alignment horizontal="left" vertical="center" wrapText="1"/>
      <protection locked="0"/>
    </xf>
    <xf numFmtId="0" fontId="3" fillId="7" borderId="78" xfId="0" applyFont="1" applyFill="1" applyBorder="1" applyAlignment="1" applyProtection="1">
      <alignment horizontal="center" vertical="center"/>
    </xf>
    <xf numFmtId="0" fontId="3" fillId="7" borderId="107" xfId="0" applyFont="1" applyFill="1" applyBorder="1" applyAlignment="1" applyProtection="1">
      <alignment horizontal="center" vertical="center"/>
    </xf>
    <xf numFmtId="0" fontId="7" fillId="7" borderId="75" xfId="0" applyFont="1" applyFill="1" applyBorder="1" applyAlignment="1" applyProtection="1">
      <alignment vertical="center"/>
      <protection locked="0"/>
    </xf>
    <xf numFmtId="0" fontId="8" fillId="7" borderId="37" xfId="0" applyFont="1" applyFill="1" applyBorder="1" applyAlignment="1" applyProtection="1">
      <alignment vertical="center"/>
      <protection locked="0"/>
    </xf>
    <xf numFmtId="2" fontId="6" fillId="0" borderId="0" xfId="0" applyNumberFormat="1" applyFont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0" fontId="3" fillId="0" borderId="120" xfId="0" applyFont="1" applyBorder="1" applyAlignment="1" applyProtection="1">
      <alignment horizontal="center" vertical="center"/>
    </xf>
    <xf numFmtId="179" fontId="3" fillId="0" borderId="95" xfId="0" applyNumberFormat="1" applyFont="1" applyBorder="1" applyAlignment="1" applyProtection="1">
      <alignment horizontal="center" vertical="center"/>
    </xf>
    <xf numFmtId="179" fontId="3" fillId="0" borderId="120" xfId="0" applyNumberFormat="1" applyFont="1" applyBorder="1" applyAlignment="1" applyProtection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2" fontId="7" fillId="9" borderId="117" xfId="1" applyNumberFormat="1" applyFont="1" applyFill="1" applyBorder="1" applyAlignment="1" applyProtection="1">
      <alignment horizontal="center" vertical="center"/>
      <protection locked="0"/>
    </xf>
    <xf numFmtId="2" fontId="7" fillId="9" borderId="118" xfId="1" applyNumberFormat="1" applyFont="1" applyFill="1" applyBorder="1" applyAlignment="1" applyProtection="1">
      <alignment horizontal="center" vertical="center"/>
      <protection locked="0"/>
    </xf>
    <xf numFmtId="0" fontId="3" fillId="7" borderId="119" xfId="0" applyFont="1" applyFill="1" applyBorder="1" applyAlignment="1" applyProtection="1">
      <alignment horizontal="center" vertical="center"/>
    </xf>
    <xf numFmtId="0" fontId="3" fillId="7" borderId="36" xfId="0" applyFont="1" applyFill="1" applyBorder="1" applyAlignment="1" applyProtection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38" fontId="3" fillId="0" borderId="110" xfId="1" applyFont="1" applyBorder="1" applyAlignment="1">
      <alignment horizontal="center" vertical="center"/>
    </xf>
    <xf numFmtId="38" fontId="3" fillId="0" borderId="111" xfId="1" applyFont="1" applyBorder="1" applyAlignment="1">
      <alignment horizontal="center" vertical="center"/>
    </xf>
    <xf numFmtId="38" fontId="3" fillId="0" borderId="73" xfId="1" applyFont="1" applyBorder="1" applyAlignment="1">
      <alignment horizontal="center" vertical="center"/>
    </xf>
    <xf numFmtId="38" fontId="3" fillId="0" borderId="112" xfId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2" fontId="7" fillId="9" borderId="82" xfId="1" applyNumberFormat="1" applyFont="1" applyFill="1" applyBorder="1" applyAlignment="1" applyProtection="1">
      <alignment horizontal="center" vertical="center"/>
      <protection locked="0"/>
    </xf>
    <xf numFmtId="2" fontId="7" fillId="9" borderId="81" xfId="1" applyNumberFormat="1" applyFont="1" applyFill="1" applyBorder="1" applyAlignment="1" applyProtection="1">
      <alignment horizontal="center" vertical="center"/>
      <protection locked="0"/>
    </xf>
    <xf numFmtId="179" fontId="3" fillId="0" borderId="95" xfId="0" applyNumberFormat="1" applyFont="1" applyBorder="1" applyAlignment="1">
      <alignment horizontal="center" vertical="center"/>
    </xf>
    <xf numFmtId="179" fontId="3" fillId="0" borderId="120" xfId="0" applyNumberFormat="1" applyFont="1" applyBorder="1" applyAlignment="1">
      <alignment horizontal="center" vertical="center"/>
    </xf>
    <xf numFmtId="0" fontId="7" fillId="7" borderId="39" xfId="0" applyFont="1" applyFill="1" applyBorder="1" applyAlignment="1" applyProtection="1">
      <alignment vertical="center"/>
      <protection locked="0"/>
    </xf>
    <xf numFmtId="0" fontId="7" fillId="7" borderId="107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06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78" xfId="0" applyFont="1" applyFill="1" applyBorder="1" applyAlignment="1" applyProtection="1">
      <alignment horizontal="center" vertical="center" wrapText="1"/>
      <protection locked="0"/>
    </xf>
    <xf numFmtId="0" fontId="7" fillId="7" borderId="39" xfId="0" applyFont="1" applyFill="1" applyBorder="1" applyAlignment="1" applyProtection="1">
      <alignment horizontal="center" vertical="center" wrapText="1"/>
      <protection locked="0"/>
    </xf>
    <xf numFmtId="0" fontId="7" fillId="7" borderId="37" xfId="0" applyFont="1" applyFill="1" applyBorder="1" applyAlignment="1" applyProtection="1">
      <alignment vertical="center"/>
      <protection locked="0"/>
    </xf>
    <xf numFmtId="0" fontId="7" fillId="7" borderId="148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47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76" xfId="0" applyFont="1" applyFill="1" applyBorder="1" applyAlignment="1" applyProtection="1">
      <alignment horizontal="center" vertical="center" wrapText="1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vertical="center"/>
      <protection locked="0"/>
    </xf>
    <xf numFmtId="0" fontId="7" fillId="7" borderId="100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149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80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180" fontId="3" fillId="0" borderId="4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24" xfId="0" applyNumberFormat="1" applyFont="1" applyBorder="1" applyAlignment="1">
      <alignment horizontal="center" vertical="center"/>
    </xf>
    <xf numFmtId="180" fontId="3" fillId="0" borderId="96" xfId="0" applyNumberFormat="1" applyFont="1" applyBorder="1" applyAlignment="1">
      <alignment horizontal="center" vertical="center"/>
    </xf>
    <xf numFmtId="0" fontId="14" fillId="7" borderId="80" xfId="0" applyFont="1" applyFill="1" applyBorder="1" applyAlignment="1" applyProtection="1">
      <alignment horizontal="left" vertical="center" wrapText="1"/>
      <protection locked="0"/>
    </xf>
    <xf numFmtId="0" fontId="14" fillId="7" borderId="47" xfId="0" applyFont="1" applyFill="1" applyBorder="1" applyAlignment="1" applyProtection="1">
      <alignment horizontal="left" vertical="center" wrapText="1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7" fillId="0" borderId="78" xfId="0" applyFont="1" applyFill="1" applyBorder="1" applyAlignment="1" applyProtection="1">
      <alignment horizontal="center" vertical="center" shrinkToFit="1"/>
    </xf>
    <xf numFmtId="0" fontId="7" fillId="0" borderId="39" xfId="0" applyFont="1" applyFill="1" applyBorder="1" applyAlignment="1" applyProtection="1">
      <alignment horizontal="center" vertical="center" shrinkToFit="1"/>
    </xf>
    <xf numFmtId="0" fontId="7" fillId="7" borderId="78" xfId="0" applyFont="1" applyFill="1" applyBorder="1" applyAlignment="1" applyProtection="1">
      <alignment horizontal="center" vertical="center" shrinkToFit="1"/>
      <protection locked="0"/>
    </xf>
    <xf numFmtId="0" fontId="7" fillId="7" borderId="39" xfId="0" applyFont="1" applyFill="1" applyBorder="1" applyAlignment="1" applyProtection="1">
      <alignment horizontal="center" vertical="center" shrinkToFit="1"/>
      <protection locked="0"/>
    </xf>
    <xf numFmtId="179" fontId="22" fillId="0" borderId="78" xfId="0" applyNumberFormat="1" applyFont="1" applyFill="1" applyBorder="1" applyAlignment="1" applyProtection="1">
      <alignment horizontal="center" vertical="center"/>
    </xf>
    <xf numFmtId="179" fontId="22" fillId="0" borderId="39" xfId="0" applyNumberFormat="1" applyFont="1" applyFill="1" applyBorder="1" applyAlignment="1" applyProtection="1">
      <alignment horizontal="center" vertical="center"/>
    </xf>
    <xf numFmtId="0" fontId="7" fillId="0" borderId="125" xfId="0" applyFont="1" applyFill="1" applyBorder="1" applyAlignment="1" applyProtection="1">
      <alignment horizontal="center" vertical="center" shrinkToFit="1"/>
    </xf>
    <xf numFmtId="0" fontId="7" fillId="0" borderId="126" xfId="0" applyFont="1" applyFill="1" applyBorder="1" applyAlignment="1" applyProtection="1">
      <alignment horizontal="center" vertical="center" shrinkToFit="1"/>
    </xf>
    <xf numFmtId="179" fontId="22" fillId="0" borderId="90" xfId="0" applyNumberFormat="1" applyFont="1" applyFill="1" applyBorder="1" applyAlignment="1" applyProtection="1">
      <alignment horizontal="center" vertical="center"/>
    </xf>
    <xf numFmtId="179" fontId="22" fillId="0" borderId="91" xfId="0" applyNumberFormat="1" applyFont="1" applyFill="1" applyBorder="1" applyAlignment="1" applyProtection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78" xfId="0" applyNumberFormat="1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/>
    </xf>
    <xf numFmtId="180" fontId="3" fillId="0" borderId="90" xfId="0" applyNumberFormat="1" applyFont="1" applyBorder="1" applyAlignment="1">
      <alignment horizontal="center" vertical="center"/>
    </xf>
    <xf numFmtId="180" fontId="3" fillId="0" borderId="91" xfId="0" applyNumberFormat="1" applyFont="1" applyBorder="1" applyAlignment="1">
      <alignment horizontal="center" vertical="center"/>
    </xf>
    <xf numFmtId="179" fontId="22" fillId="0" borderId="80" xfId="0" applyNumberFormat="1" applyFont="1" applyFill="1" applyBorder="1" applyAlignment="1" applyProtection="1">
      <alignment horizontal="center" vertical="center"/>
    </xf>
    <xf numFmtId="179" fontId="22" fillId="0" borderId="47" xfId="0" applyNumberFormat="1" applyFont="1" applyFill="1" applyBorder="1" applyAlignment="1" applyProtection="1">
      <alignment horizontal="center" vertical="center"/>
    </xf>
    <xf numFmtId="0" fontId="7" fillId="7" borderId="80" xfId="0" applyFont="1" applyFill="1" applyBorder="1" applyAlignment="1" applyProtection="1">
      <alignment horizontal="center" vertical="center" shrinkToFit="1"/>
      <protection locked="0"/>
    </xf>
    <xf numFmtId="0" fontId="7" fillId="7" borderId="47" xfId="0" applyFont="1" applyFill="1" applyBorder="1" applyAlignment="1" applyProtection="1">
      <alignment horizontal="center" vertical="center" shrinkToFit="1"/>
      <protection locked="0"/>
    </xf>
    <xf numFmtId="180" fontId="3" fillId="2" borderId="80" xfId="0" applyNumberFormat="1" applyFont="1" applyFill="1" applyBorder="1" applyAlignment="1">
      <alignment horizontal="center" vertical="center"/>
    </xf>
    <xf numFmtId="180" fontId="3" fillId="2" borderId="47" xfId="0" applyNumberFormat="1" applyFont="1" applyFill="1" applyBorder="1" applyAlignment="1">
      <alignment horizontal="center" vertical="center"/>
    </xf>
    <xf numFmtId="180" fontId="3" fillId="0" borderId="80" xfId="0" applyNumberFormat="1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/>
    </xf>
    <xf numFmtId="180" fontId="3" fillId="2" borderId="78" xfId="0" applyNumberFormat="1" applyFont="1" applyFill="1" applyBorder="1" applyAlignment="1">
      <alignment horizontal="center" vertical="center"/>
    </xf>
    <xf numFmtId="180" fontId="3" fillId="2" borderId="39" xfId="0" applyNumberFormat="1" applyFont="1" applyFill="1" applyBorder="1" applyAlignment="1">
      <alignment horizontal="center" vertical="center"/>
    </xf>
    <xf numFmtId="180" fontId="3" fillId="2" borderId="125" xfId="0" applyNumberFormat="1" applyFont="1" applyFill="1" applyBorder="1" applyAlignment="1">
      <alignment horizontal="center" vertical="center"/>
    </xf>
    <xf numFmtId="180" fontId="3" fillId="2" borderId="126" xfId="0" applyNumberFormat="1" applyFont="1" applyFill="1" applyBorder="1" applyAlignment="1">
      <alignment horizontal="center" vertical="center"/>
    </xf>
    <xf numFmtId="179" fontId="22" fillId="0" borderId="125" xfId="0" applyNumberFormat="1" applyFont="1" applyFill="1" applyBorder="1" applyAlignment="1" applyProtection="1">
      <alignment horizontal="center" vertical="center"/>
    </xf>
    <xf numFmtId="179" fontId="22" fillId="0" borderId="126" xfId="0" applyNumberFormat="1" applyFont="1" applyFill="1" applyBorder="1" applyAlignment="1" applyProtection="1">
      <alignment horizontal="center" vertical="center"/>
    </xf>
    <xf numFmtId="0" fontId="7" fillId="7" borderId="125" xfId="0" applyFont="1" applyFill="1" applyBorder="1" applyAlignment="1" applyProtection="1">
      <alignment horizontal="center" vertical="center" shrinkToFit="1"/>
      <protection locked="0"/>
    </xf>
    <xf numFmtId="0" fontId="7" fillId="7" borderId="126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right" vertical="center"/>
    </xf>
    <xf numFmtId="180" fontId="3" fillId="0" borderId="34" xfId="0" applyNumberFormat="1" applyFont="1" applyFill="1" applyBorder="1" applyAlignment="1">
      <alignment horizontal="center" vertical="center"/>
    </xf>
    <xf numFmtId="180" fontId="3" fillId="0" borderId="83" xfId="0" applyNumberFormat="1" applyFont="1" applyBorder="1" applyAlignment="1">
      <alignment horizontal="center" vertical="center"/>
    </xf>
    <xf numFmtId="180" fontId="3" fillId="0" borderId="84" xfId="0" applyNumberFormat="1" applyFont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27" xfId="0" applyFont="1" applyBorder="1" applyAlignment="1">
      <alignment horizontal="center" vertical="center" textRotation="255" shrinkToFit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80" fontId="3" fillId="0" borderId="128" xfId="0" applyNumberFormat="1" applyFont="1" applyBorder="1" applyAlignment="1">
      <alignment horizontal="center" vertical="center"/>
    </xf>
    <xf numFmtId="180" fontId="3" fillId="0" borderId="129" xfId="0" applyNumberFormat="1" applyFont="1" applyBorder="1" applyAlignment="1">
      <alignment horizontal="center" vertical="center"/>
    </xf>
    <xf numFmtId="180" fontId="3" fillId="0" borderId="130" xfId="0" applyNumberFormat="1" applyFont="1" applyBorder="1" applyAlignment="1">
      <alignment horizontal="center" vertical="center"/>
    </xf>
    <xf numFmtId="180" fontId="3" fillId="0" borderId="131" xfId="0" applyNumberFormat="1" applyFont="1" applyBorder="1" applyAlignment="1">
      <alignment horizontal="center" vertical="center"/>
    </xf>
    <xf numFmtId="180" fontId="3" fillId="0" borderId="125" xfId="0" applyNumberFormat="1" applyFont="1" applyBorder="1" applyAlignment="1">
      <alignment horizontal="center" vertical="center"/>
    </xf>
    <xf numFmtId="180" fontId="3" fillId="0" borderId="126" xfId="0" applyNumberFormat="1" applyFont="1" applyBorder="1" applyAlignment="1">
      <alignment horizontal="center" vertical="center"/>
    </xf>
    <xf numFmtId="180" fontId="3" fillId="0" borderId="132" xfId="0" applyNumberFormat="1" applyFont="1" applyBorder="1" applyAlignment="1">
      <alignment horizontal="center" vertical="center"/>
    </xf>
    <xf numFmtId="180" fontId="3" fillId="0" borderId="81" xfId="0" applyNumberFormat="1" applyFont="1" applyBorder="1" applyAlignment="1">
      <alignment horizontal="center" vertical="center"/>
    </xf>
    <xf numFmtId="180" fontId="3" fillId="0" borderId="82" xfId="0" applyNumberFormat="1" applyFont="1" applyBorder="1" applyAlignment="1">
      <alignment horizontal="center" vertical="center"/>
    </xf>
    <xf numFmtId="179" fontId="22" fillId="0" borderId="76" xfId="0" applyNumberFormat="1" applyFont="1" applyFill="1" applyBorder="1" applyAlignment="1" applyProtection="1">
      <alignment horizontal="center" vertical="center"/>
    </xf>
    <xf numFmtId="179" fontId="22" fillId="0" borderId="37" xfId="0" applyNumberFormat="1" applyFont="1" applyFill="1" applyBorder="1" applyAlignment="1" applyProtection="1">
      <alignment horizontal="center" vertical="center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7" borderId="37" xfId="0" applyFont="1" applyFill="1" applyBorder="1" applyAlignment="1" applyProtection="1">
      <alignment horizontal="center" vertical="center"/>
      <protection locked="0"/>
    </xf>
    <xf numFmtId="0" fontId="14" fillId="7" borderId="78" xfId="0" applyFont="1" applyFill="1" applyBorder="1" applyAlignment="1" applyProtection="1">
      <alignment horizontal="left" vertical="center" wrapText="1"/>
      <protection locked="0"/>
    </xf>
    <xf numFmtId="0" fontId="14" fillId="7" borderId="39" xfId="0" applyFont="1" applyFill="1" applyBorder="1" applyAlignment="1" applyProtection="1">
      <alignment horizontal="left" vertical="center" wrapText="1"/>
      <protection locked="0"/>
    </xf>
    <xf numFmtId="0" fontId="14" fillId="7" borderId="76" xfId="0" applyFont="1" applyFill="1" applyBorder="1" applyAlignment="1" applyProtection="1">
      <alignment horizontal="left" vertical="center" wrapText="1"/>
      <protection locked="0"/>
    </xf>
    <xf numFmtId="0" fontId="14" fillId="7" borderId="37" xfId="0" applyFont="1" applyFill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horizontal="center" vertical="center" wrapText="1" shrinkToFit="1"/>
    </xf>
    <xf numFmtId="0" fontId="7" fillId="7" borderId="76" xfId="0" applyFont="1" applyFill="1" applyBorder="1" applyAlignment="1" applyProtection="1">
      <alignment horizontal="center" vertical="center" shrinkToFit="1"/>
      <protection locked="0"/>
    </xf>
    <xf numFmtId="0" fontId="7" fillId="7" borderId="37" xfId="0" applyFont="1" applyFill="1" applyBorder="1" applyAlignment="1" applyProtection="1">
      <alignment horizontal="center" vertical="center" shrinkToFit="1"/>
      <protection locked="0"/>
    </xf>
    <xf numFmtId="180" fontId="3" fillId="2" borderId="76" xfId="0" applyNumberFormat="1" applyFont="1" applyFill="1" applyBorder="1" applyAlignment="1">
      <alignment horizontal="center" vertical="center"/>
    </xf>
    <xf numFmtId="180" fontId="3" fillId="2" borderId="37" xfId="0" applyNumberFormat="1" applyFont="1" applyFill="1" applyBorder="1" applyAlignment="1">
      <alignment horizontal="center" vertical="center"/>
    </xf>
    <xf numFmtId="38" fontId="3" fillId="0" borderId="86" xfId="1" applyFont="1" applyBorder="1" applyAlignment="1">
      <alignment horizontal="center" vertical="center"/>
    </xf>
    <xf numFmtId="38" fontId="3" fillId="0" borderId="55" xfId="1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 shrinkToFit="1"/>
    </xf>
    <xf numFmtId="0" fontId="3" fillId="0" borderId="86" xfId="0" applyFont="1" applyBorder="1" applyAlignment="1">
      <alignment horizontal="center" vertical="center" wrapText="1" shrinkToFi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180" fontId="3" fillId="0" borderId="29" xfId="0" applyNumberFormat="1" applyFont="1" applyFill="1" applyBorder="1" applyAlignment="1">
      <alignment horizontal="center" vertical="center"/>
    </xf>
    <xf numFmtId="180" fontId="3" fillId="0" borderId="92" xfId="0" applyNumberFormat="1" applyFont="1" applyFill="1" applyBorder="1" applyAlignment="1">
      <alignment horizontal="center" vertical="center"/>
    </xf>
    <xf numFmtId="180" fontId="3" fillId="0" borderId="93" xfId="0" applyNumberFormat="1" applyFont="1" applyFill="1" applyBorder="1" applyAlignment="1">
      <alignment horizontal="center" vertical="center"/>
    </xf>
    <xf numFmtId="180" fontId="3" fillId="0" borderId="56" xfId="0" applyNumberFormat="1" applyFont="1" applyBorder="1" applyAlignment="1">
      <alignment horizontal="center" vertical="center"/>
    </xf>
    <xf numFmtId="180" fontId="3" fillId="0" borderId="69" xfId="0" applyNumberFormat="1" applyFont="1" applyBorder="1" applyAlignment="1">
      <alignment horizontal="center" vertical="center"/>
    </xf>
    <xf numFmtId="180" fontId="3" fillId="0" borderId="72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83" xfId="0" applyNumberFormat="1" applyFont="1" applyFill="1" applyBorder="1" applyAlignment="1">
      <alignment horizontal="center" vertical="center"/>
    </xf>
    <xf numFmtId="180" fontId="3" fillId="0" borderId="8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0" fontId="3" fillId="0" borderId="76" xfId="0" applyNumberFormat="1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180" fontId="3" fillId="2" borderId="90" xfId="0" applyNumberFormat="1" applyFont="1" applyFill="1" applyBorder="1" applyAlignment="1">
      <alignment horizontal="center" vertical="center"/>
    </xf>
    <xf numFmtId="180" fontId="3" fillId="2" borderId="91" xfId="0" applyNumberFormat="1" applyFont="1" applyFill="1" applyBorder="1" applyAlignment="1">
      <alignment horizontal="center" vertical="center"/>
    </xf>
    <xf numFmtId="0" fontId="7" fillId="7" borderId="134" xfId="0" applyFont="1" applyFill="1" applyBorder="1" applyAlignment="1" applyProtection="1">
      <alignment horizontal="center" vertical="center"/>
      <protection locked="0"/>
    </xf>
    <xf numFmtId="0" fontId="7" fillId="7" borderId="126" xfId="0" applyFont="1" applyFill="1" applyBorder="1" applyAlignment="1" applyProtection="1">
      <alignment horizontal="center" vertical="center"/>
      <protection locked="0"/>
    </xf>
    <xf numFmtId="0" fontId="7" fillId="7" borderId="133" xfId="0" applyFont="1" applyFill="1" applyBorder="1" applyAlignment="1" applyProtection="1">
      <alignment horizontal="center" vertical="center"/>
      <protection locked="0"/>
    </xf>
    <xf numFmtId="0" fontId="7" fillId="7" borderId="91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center" vertical="center" shrinkToFit="1"/>
    </xf>
    <xf numFmtId="0" fontId="7" fillId="0" borderId="91" xfId="0" applyFont="1" applyFill="1" applyBorder="1" applyAlignment="1" applyProtection="1">
      <alignment horizontal="center" vertical="center" shrinkToFit="1"/>
    </xf>
    <xf numFmtId="0" fontId="7" fillId="7" borderId="90" xfId="0" applyFont="1" applyFill="1" applyBorder="1" applyAlignment="1" applyProtection="1">
      <alignment horizontal="center" vertical="center" shrinkToFit="1"/>
      <protection locked="0"/>
    </xf>
    <xf numFmtId="0" fontId="7" fillId="7" borderId="91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 applyProtection="1">
      <alignment horizontal="center" vertical="center" shrinkToFit="1"/>
    </xf>
    <xf numFmtId="0" fontId="7" fillId="0" borderId="37" xfId="0" applyFont="1" applyFill="1" applyBorder="1" applyAlignment="1" applyProtection="1">
      <alignment horizontal="center" vertical="center" shrinkToFit="1"/>
    </xf>
    <xf numFmtId="0" fontId="22" fillId="0" borderId="7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7" fillId="7" borderId="38" xfId="0" applyFont="1" applyFill="1" applyBorder="1" applyAlignment="1" applyProtection="1">
      <alignment horizontal="center" vertical="center" shrinkToFit="1"/>
      <protection locked="0"/>
    </xf>
    <xf numFmtId="0" fontId="7" fillId="7" borderId="102" xfId="0" applyFont="1" applyFill="1" applyBorder="1" applyAlignment="1" applyProtection="1">
      <alignment horizontal="center" vertical="center" shrinkToFit="1"/>
      <protection locked="0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180" fontId="3" fillId="0" borderId="12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7" borderId="135" xfId="0" applyFont="1" applyFill="1" applyBorder="1" applyAlignment="1" applyProtection="1">
      <alignment horizontal="center" vertical="center" shrinkToFit="1"/>
      <protection locked="0"/>
    </xf>
    <xf numFmtId="0" fontId="7" fillId="7" borderId="136" xfId="0" applyFont="1" applyFill="1" applyBorder="1" applyAlignment="1" applyProtection="1">
      <alignment horizontal="center" vertical="center" shrinkToFit="1"/>
      <protection locked="0"/>
    </xf>
    <xf numFmtId="0" fontId="7" fillId="7" borderId="49" xfId="0" applyFont="1" applyFill="1" applyBorder="1" applyAlignment="1" applyProtection="1">
      <alignment horizontal="center" vertical="center"/>
      <protection locked="0"/>
    </xf>
    <xf numFmtId="0" fontId="7" fillId="7" borderId="80" xfId="0" applyFont="1" applyFill="1" applyBorder="1" applyAlignment="1" applyProtection="1">
      <alignment horizontal="center" vertical="center"/>
      <protection locked="0"/>
    </xf>
    <xf numFmtId="180" fontId="3" fillId="0" borderId="137" xfId="0" applyNumberFormat="1" applyFont="1" applyBorder="1" applyAlignment="1">
      <alignment horizontal="center" vertical="center"/>
    </xf>
    <xf numFmtId="0" fontId="22" fillId="0" borderId="79" xfId="0" applyFont="1" applyFill="1" applyBorder="1" applyAlignment="1" applyProtection="1">
      <alignment horizontal="center" vertical="center"/>
    </xf>
    <xf numFmtId="0" fontId="27" fillId="0" borderId="47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7" fillId="7" borderId="49" xfId="0" applyFont="1" applyFill="1" applyBorder="1" applyAlignment="1" applyProtection="1">
      <alignment horizontal="center" vertical="center" shrinkToFit="1"/>
      <protection locked="0"/>
    </xf>
    <xf numFmtId="0" fontId="22" fillId="0" borderId="133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7" fillId="7" borderId="138" xfId="0" applyFont="1" applyFill="1" applyBorder="1" applyAlignment="1" applyProtection="1">
      <alignment horizontal="center" vertical="center" shrinkToFit="1"/>
      <protection locked="0"/>
    </xf>
    <xf numFmtId="0" fontId="7" fillId="7" borderId="139" xfId="0" applyFont="1" applyFill="1" applyBorder="1" applyAlignment="1" applyProtection="1">
      <alignment horizontal="center" vertical="center" shrinkToFit="1"/>
      <protection locked="0"/>
    </xf>
    <xf numFmtId="0" fontId="7" fillId="7" borderId="56" xfId="0" applyFont="1" applyFill="1" applyBorder="1" applyAlignment="1" applyProtection="1">
      <alignment horizontal="center" vertical="center"/>
      <protection locked="0"/>
    </xf>
    <xf numFmtId="180" fontId="3" fillId="0" borderId="57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 horizontal="center" wrapText="1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180" fontId="3" fillId="0" borderId="49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0" fontId="22" fillId="0" borderId="77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22" fillId="0" borderId="75" xfId="0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 applyProtection="1">
      <alignment horizontal="center" vertical="center"/>
    </xf>
    <xf numFmtId="0" fontId="22" fillId="0" borderId="119" xfId="0" applyFont="1" applyFill="1" applyBorder="1" applyAlignment="1" applyProtection="1">
      <alignment horizontal="center" vertical="center"/>
    </xf>
    <xf numFmtId="0" fontId="7" fillId="7" borderId="119" xfId="0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Border="1" applyAlignment="1">
      <alignment horizontal="center" wrapText="1"/>
    </xf>
    <xf numFmtId="180" fontId="3" fillId="0" borderId="119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7" fillId="7" borderId="141" xfId="0" applyFont="1" applyFill="1" applyBorder="1" applyAlignment="1" applyProtection="1">
      <alignment horizontal="center" vertical="center"/>
      <protection locked="0"/>
    </xf>
    <xf numFmtId="0" fontId="7" fillId="7" borderId="25" xfId="0" applyFont="1" applyFill="1" applyBorder="1" applyAlignment="1" applyProtection="1">
      <alignment horizontal="center" vertical="center"/>
      <protection locked="0"/>
    </xf>
    <xf numFmtId="0" fontId="7" fillId="7" borderId="142" xfId="0" applyFont="1" applyFill="1" applyBorder="1" applyAlignment="1" applyProtection="1">
      <alignment horizontal="center" vertical="center"/>
      <protection locked="0"/>
    </xf>
    <xf numFmtId="0" fontId="7" fillId="7" borderId="25" xfId="0" applyFont="1" applyFill="1" applyBorder="1" applyAlignment="1" applyProtection="1">
      <alignment horizontal="center" vertical="center" shrinkToFit="1"/>
      <protection locked="0"/>
    </xf>
    <xf numFmtId="0" fontId="7" fillId="7" borderId="143" xfId="0" applyFont="1" applyFill="1" applyBorder="1" applyAlignment="1" applyProtection="1">
      <alignment horizontal="center" vertical="center" shrinkToFit="1"/>
      <protection locked="0"/>
    </xf>
    <xf numFmtId="0" fontId="7" fillId="7" borderId="123" xfId="0" applyFont="1" applyFill="1" applyBorder="1" applyAlignment="1" applyProtection="1">
      <alignment horizontal="center" vertical="center"/>
      <protection locked="0"/>
    </xf>
    <xf numFmtId="0" fontId="7" fillId="7" borderId="86" xfId="0" applyFont="1" applyFill="1" applyBorder="1" applyAlignment="1" applyProtection="1">
      <alignment horizontal="center" vertical="center"/>
      <protection locked="0"/>
    </xf>
    <xf numFmtId="0" fontId="7" fillId="7" borderId="86" xfId="0" applyFont="1" applyFill="1" applyBorder="1" applyAlignment="1" applyProtection="1">
      <alignment horizontal="center" vertical="center" shrinkToFit="1"/>
      <protection locked="0"/>
    </xf>
    <xf numFmtId="0" fontId="7" fillId="7" borderId="88" xfId="0" applyFont="1" applyFill="1" applyBorder="1" applyAlignment="1" applyProtection="1">
      <alignment horizontal="center" vertical="center" shrinkToFit="1"/>
      <protection locked="0"/>
    </xf>
    <xf numFmtId="0" fontId="3" fillId="2" borderId="5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7" borderId="121" xfId="0" applyFont="1" applyFill="1" applyBorder="1" applyAlignment="1" applyProtection="1">
      <alignment horizontal="center" vertical="center"/>
      <protection locked="0"/>
    </xf>
    <xf numFmtId="0" fontId="7" fillId="7" borderId="85" xfId="0" applyFont="1" applyFill="1" applyBorder="1" applyAlignment="1" applyProtection="1">
      <alignment horizontal="center" vertical="center"/>
      <protection locked="0"/>
    </xf>
    <xf numFmtId="0" fontId="7" fillId="7" borderId="85" xfId="0" applyFont="1" applyFill="1" applyBorder="1" applyAlignment="1" applyProtection="1">
      <alignment horizontal="center" vertical="center" shrinkToFit="1"/>
      <protection locked="0"/>
    </xf>
    <xf numFmtId="0" fontId="7" fillId="7" borderId="87" xfId="0" applyFont="1" applyFill="1" applyBorder="1" applyAlignment="1" applyProtection="1">
      <alignment horizontal="center" vertical="center" shrinkToFit="1"/>
      <protection locked="0"/>
    </xf>
  </cellXfs>
  <cellStyles count="6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_f_value" xfId="4" xr:uid="{00000000-0005-0000-0000-000004000000}"/>
    <cellStyle name="標準_省エネ計算書（省エネ講習用））" xfId="5" xr:uid="{00000000-0005-0000-0000-000005000000}"/>
  </cellStyles>
  <dxfs count="1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fmlaLink="$AE$16" lockText="1" noThreeD="1"/>
</file>

<file path=xl/ctrlProps/ctrlProp10.xml><?xml version="1.0" encoding="utf-8"?>
<formControlPr xmlns="http://schemas.microsoft.com/office/spreadsheetml/2009/9/main" objectType="CheckBox" fmlaLink="$AF$16" lockText="1" noThreeD="1"/>
</file>

<file path=xl/ctrlProps/ctrlProp100.xml><?xml version="1.0" encoding="utf-8"?>
<formControlPr xmlns="http://schemas.microsoft.com/office/spreadsheetml/2009/9/main" objectType="CheckBox" fmlaLink="$AF$15" lockText="1" noThreeD="1"/>
</file>

<file path=xl/ctrlProps/ctrlProp101.xml><?xml version="1.0" encoding="utf-8"?>
<formControlPr xmlns="http://schemas.microsoft.com/office/spreadsheetml/2009/9/main" objectType="CheckBox" fmlaLink="$AF$16" lockText="1" noThreeD="1"/>
</file>

<file path=xl/ctrlProps/ctrlProp102.xml><?xml version="1.0" encoding="utf-8"?>
<formControlPr xmlns="http://schemas.microsoft.com/office/spreadsheetml/2009/9/main" objectType="CheckBox" fmlaLink="$AF$9" lockText="1" noThreeD="1"/>
</file>

<file path=xl/ctrlProps/ctrlProp103.xml><?xml version="1.0" encoding="utf-8"?>
<formControlPr xmlns="http://schemas.microsoft.com/office/spreadsheetml/2009/9/main" objectType="CheckBox" fmlaLink="$AF$10" lockText="1" noThreeD="1"/>
</file>

<file path=xl/ctrlProps/ctrlProp104.xml><?xml version="1.0" encoding="utf-8"?>
<formControlPr xmlns="http://schemas.microsoft.com/office/spreadsheetml/2009/9/main" objectType="CheckBox" fmlaLink="$AF$11" lockText="1" noThreeD="1"/>
</file>

<file path=xl/ctrlProps/ctrlProp105.xml><?xml version="1.0" encoding="utf-8"?>
<formControlPr xmlns="http://schemas.microsoft.com/office/spreadsheetml/2009/9/main" objectType="CheckBox" fmlaLink="$AC$29" lockText="1" noThreeD="1"/>
</file>

<file path=xl/ctrlProps/ctrlProp106.xml><?xml version="1.0" encoding="utf-8"?>
<formControlPr xmlns="http://schemas.microsoft.com/office/spreadsheetml/2009/9/main" objectType="CheckBox" fmlaLink="$AC$30" lockText="1" noThreeD="1"/>
</file>

<file path=xl/ctrlProps/ctrlProp107.xml><?xml version="1.0" encoding="utf-8"?>
<formControlPr xmlns="http://schemas.microsoft.com/office/spreadsheetml/2009/9/main" objectType="CheckBox" fmlaLink="$AC$31" lockText="1" noThreeD="1"/>
</file>

<file path=xl/ctrlProps/ctrlProp11.xml><?xml version="1.0" encoding="utf-8"?>
<formControlPr xmlns="http://schemas.microsoft.com/office/spreadsheetml/2009/9/main" objectType="CheckBox" fmlaLink="$AF$9" lockText="1" noThreeD="1"/>
</file>

<file path=xl/ctrlProps/ctrlProp12.xml><?xml version="1.0" encoding="utf-8"?>
<formControlPr xmlns="http://schemas.microsoft.com/office/spreadsheetml/2009/9/main" objectType="CheckBox" fmlaLink="$AF$10" lockText="1" noThreeD="1"/>
</file>

<file path=xl/ctrlProps/ctrlProp13.xml><?xml version="1.0" encoding="utf-8"?>
<formControlPr xmlns="http://schemas.microsoft.com/office/spreadsheetml/2009/9/main" objectType="CheckBox" fmlaLink="$AF$11" lockText="1" noThreeD="1"/>
</file>

<file path=xl/ctrlProps/ctrlProp14.xml><?xml version="1.0" encoding="utf-8"?>
<formControlPr xmlns="http://schemas.microsoft.com/office/spreadsheetml/2009/9/main" objectType="CheckBox" fmlaLink="$AC$29" lockText="1" noThreeD="1"/>
</file>

<file path=xl/ctrlProps/ctrlProp15.xml><?xml version="1.0" encoding="utf-8"?>
<formControlPr xmlns="http://schemas.microsoft.com/office/spreadsheetml/2009/9/main" objectType="CheckBox" fmlaLink="$AC$30" lockText="1" noThreeD="1"/>
</file>

<file path=xl/ctrlProps/ctrlProp16.xml><?xml version="1.0" encoding="utf-8"?>
<formControlPr xmlns="http://schemas.microsoft.com/office/spreadsheetml/2009/9/main" objectType="CheckBox" fmlaLink="$AC$31" lockText="1" noThreeD="1"/>
</file>

<file path=xl/ctrlProps/ctrlProp17.xml><?xml version="1.0" encoding="utf-8"?>
<formControlPr xmlns="http://schemas.microsoft.com/office/spreadsheetml/2009/9/main" objectType="CheckBox" fmlaLink="$AF$7" lockText="1" noThreeD="1"/>
</file>

<file path=xl/ctrlProps/ctrlProp18.xml><?xml version="1.0" encoding="utf-8"?>
<formControlPr xmlns="http://schemas.microsoft.com/office/spreadsheetml/2009/9/main" objectType="CheckBox" fmlaLink="$AF$8" lockText="1" noThreeD="1"/>
</file>

<file path=xl/ctrlProps/ctrlProp19.xml><?xml version="1.0" encoding="utf-8"?>
<formControlPr xmlns="http://schemas.microsoft.com/office/spreadsheetml/2009/9/main" objectType="CheckBox" fmlaLink="$AF$1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$AF$13" lockText="1" noThreeD="1"/>
</file>

<file path=xl/ctrlProps/ctrlProp21.xml><?xml version="1.0" encoding="utf-8"?>
<formControlPr xmlns="http://schemas.microsoft.com/office/spreadsheetml/2009/9/main" objectType="CheckBox" fmlaLink="$AF$14" lockText="1" noThreeD="1"/>
</file>

<file path=xl/ctrlProps/ctrlProp22.xml><?xml version="1.0" encoding="utf-8"?>
<formControlPr xmlns="http://schemas.microsoft.com/office/spreadsheetml/2009/9/main" objectType="CheckBox" fmlaLink="$AF$15" lockText="1" noThreeD="1"/>
</file>

<file path=xl/ctrlProps/ctrlProp23.xml><?xml version="1.0" encoding="utf-8"?>
<formControlPr xmlns="http://schemas.microsoft.com/office/spreadsheetml/2009/9/main" objectType="CheckBox" fmlaLink="$AF$16" lockText="1" noThreeD="1"/>
</file>

<file path=xl/ctrlProps/ctrlProp24.xml><?xml version="1.0" encoding="utf-8"?>
<formControlPr xmlns="http://schemas.microsoft.com/office/spreadsheetml/2009/9/main" objectType="CheckBox" fmlaLink="$AF$9" lockText="1" noThreeD="1"/>
</file>

<file path=xl/ctrlProps/ctrlProp25.xml><?xml version="1.0" encoding="utf-8"?>
<formControlPr xmlns="http://schemas.microsoft.com/office/spreadsheetml/2009/9/main" objectType="CheckBox" fmlaLink="$AF$10" lockText="1" noThreeD="1"/>
</file>

<file path=xl/ctrlProps/ctrlProp26.xml><?xml version="1.0" encoding="utf-8"?>
<formControlPr xmlns="http://schemas.microsoft.com/office/spreadsheetml/2009/9/main" objectType="CheckBox" fmlaLink="$AF$11" lockText="1" noThreeD="1"/>
</file>

<file path=xl/ctrlProps/ctrlProp27.xml><?xml version="1.0" encoding="utf-8"?>
<formControlPr xmlns="http://schemas.microsoft.com/office/spreadsheetml/2009/9/main" objectType="CheckBox" fmlaLink="$AC$29" lockText="1" noThreeD="1"/>
</file>

<file path=xl/ctrlProps/ctrlProp28.xml><?xml version="1.0" encoding="utf-8"?>
<formControlPr xmlns="http://schemas.microsoft.com/office/spreadsheetml/2009/9/main" objectType="CheckBox" fmlaLink="$AC$30" lockText="1" noThreeD="1"/>
</file>

<file path=xl/ctrlProps/ctrlProp29.xml><?xml version="1.0" encoding="utf-8"?>
<formControlPr xmlns="http://schemas.microsoft.com/office/spreadsheetml/2009/9/main" objectType="CheckBox" fmlaLink="$AC$3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$AF$7" lockText="1" noThreeD="1"/>
</file>

<file path=xl/ctrlProps/ctrlProp31.xml><?xml version="1.0" encoding="utf-8"?>
<formControlPr xmlns="http://schemas.microsoft.com/office/spreadsheetml/2009/9/main" objectType="CheckBox" fmlaLink="$AF$8" lockText="1" noThreeD="1"/>
</file>

<file path=xl/ctrlProps/ctrlProp32.xml><?xml version="1.0" encoding="utf-8"?>
<formControlPr xmlns="http://schemas.microsoft.com/office/spreadsheetml/2009/9/main" objectType="CheckBox" fmlaLink="$AF$12" lockText="1" noThreeD="1"/>
</file>

<file path=xl/ctrlProps/ctrlProp33.xml><?xml version="1.0" encoding="utf-8"?>
<formControlPr xmlns="http://schemas.microsoft.com/office/spreadsheetml/2009/9/main" objectType="CheckBox" fmlaLink="$AF$13" lockText="1" noThreeD="1"/>
</file>

<file path=xl/ctrlProps/ctrlProp34.xml><?xml version="1.0" encoding="utf-8"?>
<formControlPr xmlns="http://schemas.microsoft.com/office/spreadsheetml/2009/9/main" objectType="CheckBox" fmlaLink="$AF$14" lockText="1" noThreeD="1"/>
</file>

<file path=xl/ctrlProps/ctrlProp35.xml><?xml version="1.0" encoding="utf-8"?>
<formControlPr xmlns="http://schemas.microsoft.com/office/spreadsheetml/2009/9/main" objectType="CheckBox" fmlaLink="$AF$15" lockText="1" noThreeD="1"/>
</file>

<file path=xl/ctrlProps/ctrlProp36.xml><?xml version="1.0" encoding="utf-8"?>
<formControlPr xmlns="http://schemas.microsoft.com/office/spreadsheetml/2009/9/main" objectType="CheckBox" fmlaLink="$AF$16" lockText="1" noThreeD="1"/>
</file>

<file path=xl/ctrlProps/ctrlProp37.xml><?xml version="1.0" encoding="utf-8"?>
<formControlPr xmlns="http://schemas.microsoft.com/office/spreadsheetml/2009/9/main" objectType="CheckBox" fmlaLink="$AF$9" lockText="1" noThreeD="1"/>
</file>

<file path=xl/ctrlProps/ctrlProp38.xml><?xml version="1.0" encoding="utf-8"?>
<formControlPr xmlns="http://schemas.microsoft.com/office/spreadsheetml/2009/9/main" objectType="CheckBox" fmlaLink="$AF$10" lockText="1" noThreeD="1"/>
</file>

<file path=xl/ctrlProps/ctrlProp39.xml><?xml version="1.0" encoding="utf-8"?>
<formControlPr xmlns="http://schemas.microsoft.com/office/spreadsheetml/2009/9/main" objectType="CheckBox" fmlaLink="$AF$11" lockText="1" noThreeD="1"/>
</file>

<file path=xl/ctrlProps/ctrlProp4.xml><?xml version="1.0" encoding="utf-8"?>
<formControlPr xmlns="http://schemas.microsoft.com/office/spreadsheetml/2009/9/main" objectType="CheckBox" fmlaLink="$AF$7" lockText="1" noThreeD="1"/>
</file>

<file path=xl/ctrlProps/ctrlProp40.xml><?xml version="1.0" encoding="utf-8"?>
<formControlPr xmlns="http://schemas.microsoft.com/office/spreadsheetml/2009/9/main" objectType="CheckBox" fmlaLink="$AC$29" lockText="1" noThreeD="1"/>
</file>

<file path=xl/ctrlProps/ctrlProp41.xml><?xml version="1.0" encoding="utf-8"?>
<formControlPr xmlns="http://schemas.microsoft.com/office/spreadsheetml/2009/9/main" objectType="CheckBox" fmlaLink="$AC$30" lockText="1" noThreeD="1"/>
</file>

<file path=xl/ctrlProps/ctrlProp42.xml><?xml version="1.0" encoding="utf-8"?>
<formControlPr xmlns="http://schemas.microsoft.com/office/spreadsheetml/2009/9/main" objectType="CheckBox" fmlaLink="$AC$31" lockText="1" noThreeD="1"/>
</file>

<file path=xl/ctrlProps/ctrlProp43.xml><?xml version="1.0" encoding="utf-8"?>
<formControlPr xmlns="http://schemas.microsoft.com/office/spreadsheetml/2009/9/main" objectType="CheckBox" fmlaLink="$AF$7" lockText="1" noThreeD="1"/>
</file>

<file path=xl/ctrlProps/ctrlProp44.xml><?xml version="1.0" encoding="utf-8"?>
<formControlPr xmlns="http://schemas.microsoft.com/office/spreadsheetml/2009/9/main" objectType="CheckBox" fmlaLink="$AF$8" lockText="1" noThreeD="1"/>
</file>

<file path=xl/ctrlProps/ctrlProp45.xml><?xml version="1.0" encoding="utf-8"?>
<formControlPr xmlns="http://schemas.microsoft.com/office/spreadsheetml/2009/9/main" objectType="CheckBox" fmlaLink="$AF$12" lockText="1" noThreeD="1"/>
</file>

<file path=xl/ctrlProps/ctrlProp46.xml><?xml version="1.0" encoding="utf-8"?>
<formControlPr xmlns="http://schemas.microsoft.com/office/spreadsheetml/2009/9/main" objectType="CheckBox" fmlaLink="$AF$13" lockText="1" noThreeD="1"/>
</file>

<file path=xl/ctrlProps/ctrlProp47.xml><?xml version="1.0" encoding="utf-8"?>
<formControlPr xmlns="http://schemas.microsoft.com/office/spreadsheetml/2009/9/main" objectType="CheckBox" fmlaLink="$AF$14" lockText="1" noThreeD="1"/>
</file>

<file path=xl/ctrlProps/ctrlProp48.xml><?xml version="1.0" encoding="utf-8"?>
<formControlPr xmlns="http://schemas.microsoft.com/office/spreadsheetml/2009/9/main" objectType="CheckBox" fmlaLink="$AF$15" lockText="1" noThreeD="1"/>
</file>

<file path=xl/ctrlProps/ctrlProp49.xml><?xml version="1.0" encoding="utf-8"?>
<formControlPr xmlns="http://schemas.microsoft.com/office/spreadsheetml/2009/9/main" objectType="CheckBox" fmlaLink="$AF$16" lockText="1" noThreeD="1"/>
</file>

<file path=xl/ctrlProps/ctrlProp5.xml><?xml version="1.0" encoding="utf-8"?>
<formControlPr xmlns="http://schemas.microsoft.com/office/spreadsheetml/2009/9/main" objectType="CheckBox" fmlaLink="$AF$8" lockText="1" noThreeD="1"/>
</file>

<file path=xl/ctrlProps/ctrlProp50.xml><?xml version="1.0" encoding="utf-8"?>
<formControlPr xmlns="http://schemas.microsoft.com/office/spreadsheetml/2009/9/main" objectType="CheckBox" fmlaLink="$AF$9" lockText="1" noThreeD="1"/>
</file>

<file path=xl/ctrlProps/ctrlProp51.xml><?xml version="1.0" encoding="utf-8"?>
<formControlPr xmlns="http://schemas.microsoft.com/office/spreadsheetml/2009/9/main" objectType="CheckBox" fmlaLink="$AF$10" lockText="1" noThreeD="1"/>
</file>

<file path=xl/ctrlProps/ctrlProp52.xml><?xml version="1.0" encoding="utf-8"?>
<formControlPr xmlns="http://schemas.microsoft.com/office/spreadsheetml/2009/9/main" objectType="CheckBox" fmlaLink="$AF$11" lockText="1" noThreeD="1"/>
</file>

<file path=xl/ctrlProps/ctrlProp53.xml><?xml version="1.0" encoding="utf-8"?>
<formControlPr xmlns="http://schemas.microsoft.com/office/spreadsheetml/2009/9/main" objectType="CheckBox" fmlaLink="$AC$29" lockText="1" noThreeD="1"/>
</file>

<file path=xl/ctrlProps/ctrlProp54.xml><?xml version="1.0" encoding="utf-8"?>
<formControlPr xmlns="http://schemas.microsoft.com/office/spreadsheetml/2009/9/main" objectType="CheckBox" fmlaLink="$AC$30" lockText="1" noThreeD="1"/>
</file>

<file path=xl/ctrlProps/ctrlProp55.xml><?xml version="1.0" encoding="utf-8"?>
<formControlPr xmlns="http://schemas.microsoft.com/office/spreadsheetml/2009/9/main" objectType="CheckBox" fmlaLink="$AC$31" lockText="1" noThreeD="1"/>
</file>

<file path=xl/ctrlProps/ctrlProp56.xml><?xml version="1.0" encoding="utf-8"?>
<formControlPr xmlns="http://schemas.microsoft.com/office/spreadsheetml/2009/9/main" objectType="CheckBox" fmlaLink="$AF$7" lockText="1" noThreeD="1"/>
</file>

<file path=xl/ctrlProps/ctrlProp57.xml><?xml version="1.0" encoding="utf-8"?>
<formControlPr xmlns="http://schemas.microsoft.com/office/spreadsheetml/2009/9/main" objectType="CheckBox" fmlaLink="$AF$8" lockText="1" noThreeD="1"/>
</file>

<file path=xl/ctrlProps/ctrlProp58.xml><?xml version="1.0" encoding="utf-8"?>
<formControlPr xmlns="http://schemas.microsoft.com/office/spreadsheetml/2009/9/main" objectType="CheckBox" fmlaLink="$AF$12" lockText="1" noThreeD="1"/>
</file>

<file path=xl/ctrlProps/ctrlProp59.xml><?xml version="1.0" encoding="utf-8"?>
<formControlPr xmlns="http://schemas.microsoft.com/office/spreadsheetml/2009/9/main" objectType="CheckBox" fmlaLink="$AF$13" lockText="1" noThreeD="1"/>
</file>

<file path=xl/ctrlProps/ctrlProp6.xml><?xml version="1.0" encoding="utf-8"?>
<formControlPr xmlns="http://schemas.microsoft.com/office/spreadsheetml/2009/9/main" objectType="CheckBox" fmlaLink="$AF$12" lockText="1" noThreeD="1"/>
</file>

<file path=xl/ctrlProps/ctrlProp60.xml><?xml version="1.0" encoding="utf-8"?>
<formControlPr xmlns="http://schemas.microsoft.com/office/spreadsheetml/2009/9/main" objectType="CheckBox" fmlaLink="$AF$14" lockText="1" noThreeD="1"/>
</file>

<file path=xl/ctrlProps/ctrlProp61.xml><?xml version="1.0" encoding="utf-8"?>
<formControlPr xmlns="http://schemas.microsoft.com/office/spreadsheetml/2009/9/main" objectType="CheckBox" fmlaLink="$AF$15" lockText="1" noThreeD="1"/>
</file>

<file path=xl/ctrlProps/ctrlProp62.xml><?xml version="1.0" encoding="utf-8"?>
<formControlPr xmlns="http://schemas.microsoft.com/office/spreadsheetml/2009/9/main" objectType="CheckBox" fmlaLink="$AF$16" lockText="1" noThreeD="1"/>
</file>

<file path=xl/ctrlProps/ctrlProp63.xml><?xml version="1.0" encoding="utf-8"?>
<formControlPr xmlns="http://schemas.microsoft.com/office/spreadsheetml/2009/9/main" objectType="CheckBox" fmlaLink="$AF$9" lockText="1" noThreeD="1"/>
</file>

<file path=xl/ctrlProps/ctrlProp64.xml><?xml version="1.0" encoding="utf-8"?>
<formControlPr xmlns="http://schemas.microsoft.com/office/spreadsheetml/2009/9/main" objectType="CheckBox" fmlaLink="$AF$10" lockText="1" noThreeD="1"/>
</file>

<file path=xl/ctrlProps/ctrlProp65.xml><?xml version="1.0" encoding="utf-8"?>
<formControlPr xmlns="http://schemas.microsoft.com/office/spreadsheetml/2009/9/main" objectType="CheckBox" fmlaLink="$AF$11" lockText="1" noThreeD="1"/>
</file>

<file path=xl/ctrlProps/ctrlProp66.xml><?xml version="1.0" encoding="utf-8"?>
<formControlPr xmlns="http://schemas.microsoft.com/office/spreadsheetml/2009/9/main" objectType="CheckBox" fmlaLink="$AC$29" lockText="1" noThreeD="1"/>
</file>

<file path=xl/ctrlProps/ctrlProp67.xml><?xml version="1.0" encoding="utf-8"?>
<formControlPr xmlns="http://schemas.microsoft.com/office/spreadsheetml/2009/9/main" objectType="CheckBox" fmlaLink="$AC$30" lockText="1" noThreeD="1"/>
</file>

<file path=xl/ctrlProps/ctrlProp68.xml><?xml version="1.0" encoding="utf-8"?>
<formControlPr xmlns="http://schemas.microsoft.com/office/spreadsheetml/2009/9/main" objectType="CheckBox" fmlaLink="$AC$31" lockText="1" noThreeD="1"/>
</file>

<file path=xl/ctrlProps/ctrlProp69.xml><?xml version="1.0" encoding="utf-8"?>
<formControlPr xmlns="http://schemas.microsoft.com/office/spreadsheetml/2009/9/main" objectType="CheckBox" fmlaLink="$AF$7" lockText="1" noThreeD="1"/>
</file>

<file path=xl/ctrlProps/ctrlProp7.xml><?xml version="1.0" encoding="utf-8"?>
<formControlPr xmlns="http://schemas.microsoft.com/office/spreadsheetml/2009/9/main" objectType="CheckBox" fmlaLink="$AF$13" lockText="1" noThreeD="1"/>
</file>

<file path=xl/ctrlProps/ctrlProp70.xml><?xml version="1.0" encoding="utf-8"?>
<formControlPr xmlns="http://schemas.microsoft.com/office/spreadsheetml/2009/9/main" objectType="CheckBox" fmlaLink="$AF$8" lockText="1" noThreeD="1"/>
</file>

<file path=xl/ctrlProps/ctrlProp71.xml><?xml version="1.0" encoding="utf-8"?>
<formControlPr xmlns="http://schemas.microsoft.com/office/spreadsheetml/2009/9/main" objectType="CheckBox" fmlaLink="$AF$12" lockText="1" noThreeD="1"/>
</file>

<file path=xl/ctrlProps/ctrlProp72.xml><?xml version="1.0" encoding="utf-8"?>
<formControlPr xmlns="http://schemas.microsoft.com/office/spreadsheetml/2009/9/main" objectType="CheckBox" fmlaLink="$AF$13" lockText="1" noThreeD="1"/>
</file>

<file path=xl/ctrlProps/ctrlProp73.xml><?xml version="1.0" encoding="utf-8"?>
<formControlPr xmlns="http://schemas.microsoft.com/office/spreadsheetml/2009/9/main" objectType="CheckBox" fmlaLink="$AF$14" lockText="1" noThreeD="1"/>
</file>

<file path=xl/ctrlProps/ctrlProp74.xml><?xml version="1.0" encoding="utf-8"?>
<formControlPr xmlns="http://schemas.microsoft.com/office/spreadsheetml/2009/9/main" objectType="CheckBox" fmlaLink="$AF$15" lockText="1" noThreeD="1"/>
</file>

<file path=xl/ctrlProps/ctrlProp75.xml><?xml version="1.0" encoding="utf-8"?>
<formControlPr xmlns="http://schemas.microsoft.com/office/spreadsheetml/2009/9/main" objectType="CheckBox" fmlaLink="$AF$16" lockText="1" noThreeD="1"/>
</file>

<file path=xl/ctrlProps/ctrlProp76.xml><?xml version="1.0" encoding="utf-8"?>
<formControlPr xmlns="http://schemas.microsoft.com/office/spreadsheetml/2009/9/main" objectType="CheckBox" fmlaLink="$AF$9" lockText="1" noThreeD="1"/>
</file>

<file path=xl/ctrlProps/ctrlProp77.xml><?xml version="1.0" encoding="utf-8"?>
<formControlPr xmlns="http://schemas.microsoft.com/office/spreadsheetml/2009/9/main" objectType="CheckBox" fmlaLink="$AF$10" lockText="1" noThreeD="1"/>
</file>

<file path=xl/ctrlProps/ctrlProp78.xml><?xml version="1.0" encoding="utf-8"?>
<formControlPr xmlns="http://schemas.microsoft.com/office/spreadsheetml/2009/9/main" objectType="CheckBox" fmlaLink="$AF$11" lockText="1" noThreeD="1"/>
</file>

<file path=xl/ctrlProps/ctrlProp79.xml><?xml version="1.0" encoding="utf-8"?>
<formControlPr xmlns="http://schemas.microsoft.com/office/spreadsheetml/2009/9/main" objectType="CheckBox" fmlaLink="$AC$29" lockText="1" noThreeD="1"/>
</file>

<file path=xl/ctrlProps/ctrlProp8.xml><?xml version="1.0" encoding="utf-8"?>
<formControlPr xmlns="http://schemas.microsoft.com/office/spreadsheetml/2009/9/main" objectType="CheckBox" fmlaLink="$AF$14" lockText="1" noThreeD="1"/>
</file>

<file path=xl/ctrlProps/ctrlProp80.xml><?xml version="1.0" encoding="utf-8"?>
<formControlPr xmlns="http://schemas.microsoft.com/office/spreadsheetml/2009/9/main" objectType="CheckBox" fmlaLink="$AC$30" lockText="1" noThreeD="1"/>
</file>

<file path=xl/ctrlProps/ctrlProp81.xml><?xml version="1.0" encoding="utf-8"?>
<formControlPr xmlns="http://schemas.microsoft.com/office/spreadsheetml/2009/9/main" objectType="CheckBox" fmlaLink="$AC$31" lockText="1" noThreeD="1"/>
</file>

<file path=xl/ctrlProps/ctrlProp82.xml><?xml version="1.0" encoding="utf-8"?>
<formControlPr xmlns="http://schemas.microsoft.com/office/spreadsheetml/2009/9/main" objectType="CheckBox" fmlaLink="$AF$7" lockText="1" noThreeD="1"/>
</file>

<file path=xl/ctrlProps/ctrlProp83.xml><?xml version="1.0" encoding="utf-8"?>
<formControlPr xmlns="http://schemas.microsoft.com/office/spreadsheetml/2009/9/main" objectType="CheckBox" fmlaLink="$AF$8" lockText="1" noThreeD="1"/>
</file>

<file path=xl/ctrlProps/ctrlProp84.xml><?xml version="1.0" encoding="utf-8"?>
<formControlPr xmlns="http://schemas.microsoft.com/office/spreadsheetml/2009/9/main" objectType="CheckBox" fmlaLink="$AF$12" lockText="1" noThreeD="1"/>
</file>

<file path=xl/ctrlProps/ctrlProp85.xml><?xml version="1.0" encoding="utf-8"?>
<formControlPr xmlns="http://schemas.microsoft.com/office/spreadsheetml/2009/9/main" objectType="CheckBox" fmlaLink="$AF$13" lockText="1" noThreeD="1"/>
</file>

<file path=xl/ctrlProps/ctrlProp86.xml><?xml version="1.0" encoding="utf-8"?>
<formControlPr xmlns="http://schemas.microsoft.com/office/spreadsheetml/2009/9/main" objectType="CheckBox" fmlaLink="$AF$14" lockText="1" noThreeD="1"/>
</file>

<file path=xl/ctrlProps/ctrlProp87.xml><?xml version="1.0" encoding="utf-8"?>
<formControlPr xmlns="http://schemas.microsoft.com/office/spreadsheetml/2009/9/main" objectType="CheckBox" fmlaLink="$AF$15" lockText="1" noThreeD="1"/>
</file>

<file path=xl/ctrlProps/ctrlProp88.xml><?xml version="1.0" encoding="utf-8"?>
<formControlPr xmlns="http://schemas.microsoft.com/office/spreadsheetml/2009/9/main" objectType="CheckBox" fmlaLink="$AF$16" lockText="1" noThreeD="1"/>
</file>

<file path=xl/ctrlProps/ctrlProp89.xml><?xml version="1.0" encoding="utf-8"?>
<formControlPr xmlns="http://schemas.microsoft.com/office/spreadsheetml/2009/9/main" objectType="CheckBox" fmlaLink="$AF$9" lockText="1" noThreeD="1"/>
</file>

<file path=xl/ctrlProps/ctrlProp9.xml><?xml version="1.0" encoding="utf-8"?>
<formControlPr xmlns="http://schemas.microsoft.com/office/spreadsheetml/2009/9/main" objectType="CheckBox" fmlaLink="$AF$15" lockText="1" noThreeD="1"/>
</file>

<file path=xl/ctrlProps/ctrlProp90.xml><?xml version="1.0" encoding="utf-8"?>
<formControlPr xmlns="http://schemas.microsoft.com/office/spreadsheetml/2009/9/main" objectType="CheckBox" fmlaLink="$AF$10" lockText="1" noThreeD="1"/>
</file>

<file path=xl/ctrlProps/ctrlProp91.xml><?xml version="1.0" encoding="utf-8"?>
<formControlPr xmlns="http://schemas.microsoft.com/office/spreadsheetml/2009/9/main" objectType="CheckBox" fmlaLink="$AF$11" lockText="1" noThreeD="1"/>
</file>

<file path=xl/ctrlProps/ctrlProp92.xml><?xml version="1.0" encoding="utf-8"?>
<formControlPr xmlns="http://schemas.microsoft.com/office/spreadsheetml/2009/9/main" objectType="CheckBox" fmlaLink="$AC$29" lockText="1" noThreeD="1"/>
</file>

<file path=xl/ctrlProps/ctrlProp93.xml><?xml version="1.0" encoding="utf-8"?>
<formControlPr xmlns="http://schemas.microsoft.com/office/spreadsheetml/2009/9/main" objectType="CheckBox" fmlaLink="$AC$30" lockText="1" noThreeD="1"/>
</file>

<file path=xl/ctrlProps/ctrlProp94.xml><?xml version="1.0" encoding="utf-8"?>
<formControlPr xmlns="http://schemas.microsoft.com/office/spreadsheetml/2009/9/main" objectType="CheckBox" fmlaLink="$AC$31" lockText="1" noThreeD="1"/>
</file>

<file path=xl/ctrlProps/ctrlProp95.xml><?xml version="1.0" encoding="utf-8"?>
<formControlPr xmlns="http://schemas.microsoft.com/office/spreadsheetml/2009/9/main" objectType="CheckBox" fmlaLink="$AF$7" lockText="1" noThreeD="1"/>
</file>

<file path=xl/ctrlProps/ctrlProp96.xml><?xml version="1.0" encoding="utf-8"?>
<formControlPr xmlns="http://schemas.microsoft.com/office/spreadsheetml/2009/9/main" objectType="CheckBox" fmlaLink="$AF$8" lockText="1" noThreeD="1"/>
</file>

<file path=xl/ctrlProps/ctrlProp97.xml><?xml version="1.0" encoding="utf-8"?>
<formControlPr xmlns="http://schemas.microsoft.com/office/spreadsheetml/2009/9/main" objectType="CheckBox" fmlaLink="$AF$12" lockText="1" noThreeD="1"/>
</file>

<file path=xl/ctrlProps/ctrlProp98.xml><?xml version="1.0" encoding="utf-8"?>
<formControlPr xmlns="http://schemas.microsoft.com/office/spreadsheetml/2009/9/main" objectType="CheckBox" fmlaLink="$AF$13" lockText="1" noThreeD="1"/>
</file>

<file path=xl/ctrlProps/ctrlProp99.xml><?xml version="1.0" encoding="utf-8"?>
<formControlPr xmlns="http://schemas.microsoft.com/office/spreadsheetml/2009/9/main" objectType="CheckBox" fmlaLink="$AF$14" lockText="1" noThreeD="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85725</xdr:rowOff>
        </xdr:from>
        <xdr:to>
          <xdr:col>25</xdr:col>
          <xdr:colOff>57150</xdr:colOff>
          <xdr:row>14</xdr:row>
          <xdr:rowOff>295275</xdr:rowOff>
        </xdr:to>
        <xdr:sp macro="" textlink="">
          <xdr:nvSpPr>
            <xdr:cNvPr id="107525" name="Option Button 5" hidden="1">
              <a:extLst>
                <a:ext uri="{63B3BB69-23CF-44E3-9099-C40C66FF867C}">
                  <a14:compatExt spid="_x0000_s107525"/>
                </a:ext>
                <a:ext uri="{FF2B5EF4-FFF2-40B4-BE49-F238E27FC236}">
                  <a16:creationId xmlns:a16="http://schemas.microsoft.com/office/drawing/2014/main" id="{00000000-0008-0000-0100-00000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85725</xdr:rowOff>
        </xdr:from>
        <xdr:to>
          <xdr:col>25</xdr:col>
          <xdr:colOff>57150</xdr:colOff>
          <xdr:row>15</xdr:row>
          <xdr:rowOff>295275</xdr:rowOff>
        </xdr:to>
        <xdr:sp macro="" textlink="">
          <xdr:nvSpPr>
            <xdr:cNvPr id="107526" name="Option Button 6" hidden="1">
              <a:extLst>
                <a:ext uri="{63B3BB69-23CF-44E3-9099-C40C66FF867C}">
                  <a14:compatExt spid="_x0000_s107526"/>
                </a:ext>
                <a:ext uri="{FF2B5EF4-FFF2-40B4-BE49-F238E27FC236}">
                  <a16:creationId xmlns:a16="http://schemas.microsoft.com/office/drawing/2014/main" id="{00000000-0008-0000-0100-00000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16</xdr:row>
          <xdr:rowOff>85725</xdr:rowOff>
        </xdr:from>
        <xdr:to>
          <xdr:col>25</xdr:col>
          <xdr:colOff>57150</xdr:colOff>
          <xdr:row>16</xdr:row>
          <xdr:rowOff>295275</xdr:rowOff>
        </xdr:to>
        <xdr:sp macro="" textlink="">
          <xdr:nvSpPr>
            <xdr:cNvPr id="107527" name="Option Button 7" hidden="1">
              <a:extLst>
                <a:ext uri="{63B3BB69-23CF-44E3-9099-C40C66FF867C}">
                  <a14:compatExt spid="_x0000_s107527"/>
                </a:ext>
                <a:ext uri="{FF2B5EF4-FFF2-40B4-BE49-F238E27FC236}">
                  <a16:creationId xmlns:a16="http://schemas.microsoft.com/office/drawing/2014/main" id="{00000000-0008-0000-0100-00000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33</xdr:row>
      <xdr:rowOff>9525</xdr:rowOff>
    </xdr:from>
    <xdr:to>
      <xdr:col>23</xdr:col>
      <xdr:colOff>85725</xdr:colOff>
      <xdr:row>42</xdr:row>
      <xdr:rowOff>161925</xdr:rowOff>
    </xdr:to>
    <xdr:pic>
      <xdr:nvPicPr>
        <xdr:cNvPr id="117848" name="Picture 4">
          <a:extLst>
            <a:ext uri="{FF2B5EF4-FFF2-40B4-BE49-F238E27FC236}">
              <a16:creationId xmlns:a16="http://schemas.microsoft.com/office/drawing/2014/main" id="{00000000-0008-0000-0D00-000058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0" y="8315325"/>
          <a:ext cx="508635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273340</xdr:colOff>
      <xdr:row>3</xdr:row>
      <xdr:rowOff>4271</xdr:rowOff>
    </xdr:from>
    <xdr:to>
      <xdr:col>26</xdr:col>
      <xdr:colOff>200025</xdr:colOff>
      <xdr:row>8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 bwMode="auto">
        <a:xfrm>
          <a:off x="5597815" y="880571"/>
          <a:ext cx="1860260" cy="1434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1)</a:t>
          </a:r>
          <a:r>
            <a:rPr kumimoji="1" lang="ja-JP" altLang="en-US" sz="1000"/>
            <a:t>土間床等面積の算出</a:t>
          </a:r>
          <a:endParaRPr kumimoji="1" lang="en-US" altLang="ja-JP" sz="1000"/>
        </a:p>
        <a:p>
          <a:pPr>
            <a:lnSpc>
              <a:spcPts val="500"/>
            </a:lnSpc>
          </a:pP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基礎断熱の場合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Ｌ１</a:t>
          </a:r>
          <a:r>
            <a:rPr kumimoji="1" lang="en-US" altLang="ja-JP" sz="1000"/>
            <a:t>×</a:t>
          </a:r>
          <a:r>
            <a:rPr kumimoji="1" lang="ja-JP" altLang="en-US" sz="1000"/>
            <a:t>Ｌ２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土間床部分の場合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Ｌ３</a:t>
          </a:r>
          <a:r>
            <a:rPr kumimoji="1" lang="en-US" altLang="ja-JP" sz="1000"/>
            <a:t>×</a:t>
          </a:r>
          <a:r>
            <a:rPr kumimoji="1" lang="ja-JP" altLang="en-US" sz="1000"/>
            <a:t>Ｌ４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を求め入力する。</a:t>
          </a:r>
        </a:p>
      </xdr:txBody>
    </xdr:sp>
    <xdr:clientData/>
  </xdr:twoCellAnchor>
  <xdr:twoCellAnchor>
    <xdr:from>
      <xdr:col>20</xdr:col>
      <xdr:colOff>10602</xdr:colOff>
      <xdr:row>8</xdr:row>
      <xdr:rowOff>4272</xdr:rowOff>
    </xdr:from>
    <xdr:to>
      <xdr:col>27</xdr:col>
      <xdr:colOff>47625</xdr:colOff>
      <xdr:row>14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 bwMode="auto">
        <a:xfrm>
          <a:off x="5611302" y="2118822"/>
          <a:ext cx="1970598" cy="1586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3)</a:t>
          </a:r>
          <a:r>
            <a:rPr kumimoji="1" lang="ja-JP" altLang="en-US" sz="1000"/>
            <a:t>基礎外周長さＬの算出</a:t>
          </a:r>
          <a:endParaRPr kumimoji="1" lang="en-US" altLang="ja-JP" sz="1000"/>
        </a:p>
        <a:p>
          <a:pPr>
            <a:lnSpc>
              <a:spcPts val="500"/>
            </a:lnSpc>
          </a:pP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基礎断熱の場合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（Ｌ１＋Ｌ２）</a:t>
          </a:r>
          <a:r>
            <a:rPr kumimoji="1" lang="en-US" altLang="ja-JP" sz="1000"/>
            <a:t>×</a:t>
          </a:r>
          <a:r>
            <a:rPr kumimoji="1" lang="ja-JP" altLang="en-US" sz="1000"/>
            <a:t>２＝Ｌ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土間床部分の場合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・温度差係数</a:t>
          </a:r>
          <a:r>
            <a:rPr kumimoji="1" lang="en-US" altLang="ja-JP" sz="1000"/>
            <a:t>0.7</a:t>
          </a:r>
          <a:r>
            <a:rPr kumimoji="1" lang="ja-JP" altLang="en-US" sz="1000"/>
            <a:t>の部分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　Ｌ３＋Ｌ４</a:t>
          </a:r>
          <a:r>
            <a:rPr kumimoji="1" lang="en-US" altLang="ja-JP" sz="1000"/>
            <a:t>×</a:t>
          </a:r>
          <a:r>
            <a:rPr kumimoji="1" lang="ja-JP" altLang="en-US" sz="1000"/>
            <a:t>２＝Ｌ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　・温度差係数</a:t>
          </a:r>
          <a:r>
            <a:rPr kumimoji="1" lang="en-US" altLang="ja-JP" sz="1000"/>
            <a:t>1.0</a:t>
          </a:r>
          <a:r>
            <a:rPr kumimoji="1" lang="ja-JP" altLang="en-US" sz="1000"/>
            <a:t>の部分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　　　</a:t>
          </a:r>
          <a:r>
            <a:rPr kumimoji="1" lang="ja-JP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Ｌ３＝Ｌ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　として入力する。</a:t>
          </a:r>
        </a:p>
      </xdr:txBody>
    </xdr:sp>
    <xdr:clientData/>
  </xdr:twoCellAnchor>
  <xdr:twoCellAnchor>
    <xdr:from>
      <xdr:col>9</xdr:col>
      <xdr:colOff>0</xdr:colOff>
      <xdr:row>1</xdr:row>
      <xdr:rowOff>180975</xdr:rowOff>
    </xdr:from>
    <xdr:to>
      <xdr:col>19</xdr:col>
      <xdr:colOff>142875</xdr:colOff>
      <xdr:row>10</xdr:row>
      <xdr:rowOff>219075</xdr:rowOff>
    </xdr:to>
    <xdr:grpSp>
      <xdr:nvGrpSpPr>
        <xdr:cNvPr id="117851" name="グループ化 32">
          <a:extLst>
            <a:ext uri="{FF2B5EF4-FFF2-40B4-BE49-F238E27FC236}">
              <a16:creationId xmlns:a16="http://schemas.microsoft.com/office/drawing/2014/main" id="{00000000-0008-0000-0D00-00005BCC0100}"/>
            </a:ext>
          </a:extLst>
        </xdr:cNvPr>
        <xdr:cNvGrpSpPr>
          <a:grpSpLocks/>
        </xdr:cNvGrpSpPr>
      </xdr:nvGrpSpPr>
      <xdr:grpSpPr bwMode="auto">
        <a:xfrm>
          <a:off x="2542761" y="561975"/>
          <a:ext cx="2876136" cy="2274404"/>
          <a:chOff x="159196" y="7833807"/>
          <a:chExt cx="3651576" cy="2925781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 bwMode="auto">
          <a:xfrm>
            <a:off x="674008" y="8276362"/>
            <a:ext cx="3017040" cy="204067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ja-JP" altLang="en-US"/>
          </a:p>
        </xdr:txBody>
      </xdr:sp>
      <xdr:grpSp>
        <xdr:nvGrpSpPr>
          <xdr:cNvPr id="117853" name="グループ化 31">
            <a:extLst>
              <a:ext uri="{FF2B5EF4-FFF2-40B4-BE49-F238E27FC236}">
                <a16:creationId xmlns:a16="http://schemas.microsoft.com/office/drawing/2014/main" id="{00000000-0008-0000-0D00-00005DCC0100}"/>
              </a:ext>
            </a:extLst>
          </xdr:cNvPr>
          <xdr:cNvGrpSpPr>
            <a:grpSpLocks/>
          </xdr:cNvGrpSpPr>
        </xdr:nvGrpSpPr>
        <xdr:grpSpPr bwMode="auto">
          <a:xfrm>
            <a:off x="159196" y="7833807"/>
            <a:ext cx="3651576" cy="2925781"/>
            <a:chOff x="158330" y="7875352"/>
            <a:chExt cx="3704371" cy="2942000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0000000-0008-0000-0D00-000008000000}"/>
                </a:ext>
              </a:extLst>
            </xdr:cNvPr>
            <xdr:cNvSpPr/>
          </xdr:nvSpPr>
          <xdr:spPr bwMode="auto">
            <a:xfrm>
              <a:off x="802040" y="8443974"/>
              <a:ext cx="935202" cy="704597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00000000-0008-0000-0D00-000009000000}"/>
                </a:ext>
              </a:extLst>
            </xdr:cNvPr>
            <xdr:cNvSpPr/>
          </xdr:nvSpPr>
          <xdr:spPr bwMode="auto">
            <a:xfrm>
              <a:off x="802040" y="9247461"/>
              <a:ext cx="935202" cy="1025992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0000000-0008-0000-0D00-00000A000000}"/>
                </a:ext>
              </a:extLst>
            </xdr:cNvPr>
            <xdr:cNvSpPr/>
          </xdr:nvSpPr>
          <xdr:spPr bwMode="auto">
            <a:xfrm>
              <a:off x="1846552" y="8443974"/>
              <a:ext cx="898765" cy="14339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SpPr/>
          </xdr:nvSpPr>
          <xdr:spPr bwMode="auto">
            <a:xfrm>
              <a:off x="1846552" y="9976781"/>
              <a:ext cx="898765" cy="296672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00000000-0008-0000-0D00-00000C000000}"/>
                </a:ext>
              </a:extLst>
            </xdr:cNvPr>
            <xdr:cNvSpPr/>
          </xdr:nvSpPr>
          <xdr:spPr bwMode="auto">
            <a:xfrm>
              <a:off x="2866772" y="8443974"/>
              <a:ext cx="753020" cy="754042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0000000-0008-0000-0D00-00000D000000}"/>
                </a:ext>
              </a:extLst>
            </xdr:cNvPr>
            <xdr:cNvSpPr/>
          </xdr:nvSpPr>
          <xdr:spPr bwMode="auto">
            <a:xfrm>
              <a:off x="2866772" y="9309268"/>
              <a:ext cx="753020" cy="964185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endParaRPr lang="ja-JP" altLang="en-US"/>
            </a:p>
          </xdr:txBody>
        </xdr:sp>
        <xdr:cxnSp macro="">
          <xdr:nvCxnSpPr>
            <xdr:cNvPr id="14" name="直線コネクタ 13">
              <a:extLst>
                <a:ext uri="{FF2B5EF4-FFF2-40B4-BE49-F238E27FC236}">
                  <a16:creationId xmlns:a16="http://schemas.microsoft.com/office/drawing/2014/main" id="{00000000-0008-0000-0D00-00000E000000}"/>
                </a:ext>
              </a:extLst>
            </xdr:cNvPr>
            <xdr:cNvCxnSpPr/>
          </xdr:nvCxnSpPr>
          <xdr:spPr bwMode="auto">
            <a:xfrm>
              <a:off x="741313" y="8110218"/>
              <a:ext cx="0" cy="243518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0000000-0008-0000-0D00-00000F000000}"/>
                </a:ext>
              </a:extLst>
            </xdr:cNvPr>
            <xdr:cNvCxnSpPr/>
          </xdr:nvCxnSpPr>
          <xdr:spPr bwMode="auto">
            <a:xfrm>
              <a:off x="3680519" y="8110218"/>
              <a:ext cx="0" cy="243518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D00-000010000000}"/>
                </a:ext>
              </a:extLst>
            </xdr:cNvPr>
            <xdr:cNvCxnSpPr/>
          </xdr:nvCxnSpPr>
          <xdr:spPr bwMode="auto">
            <a:xfrm>
              <a:off x="1785824" y="9692470"/>
              <a:ext cx="0" cy="87765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00000000-0008-0000-0D00-000011000000}"/>
                </a:ext>
              </a:extLst>
            </xdr:cNvPr>
            <xdr:cNvCxnSpPr/>
          </xdr:nvCxnSpPr>
          <xdr:spPr bwMode="auto">
            <a:xfrm>
              <a:off x="2806044" y="9692470"/>
              <a:ext cx="0" cy="877655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00000000-0008-0000-0D00-000012000000}"/>
                </a:ext>
              </a:extLst>
            </xdr:cNvPr>
            <xdr:cNvCxnSpPr/>
          </xdr:nvCxnSpPr>
          <xdr:spPr bwMode="auto">
            <a:xfrm>
              <a:off x="437676" y="8382167"/>
              <a:ext cx="3425025" cy="0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00000000-0008-0000-0D00-000013000000}"/>
                </a:ext>
              </a:extLst>
            </xdr:cNvPr>
            <xdr:cNvCxnSpPr/>
          </xdr:nvCxnSpPr>
          <xdr:spPr bwMode="auto">
            <a:xfrm>
              <a:off x="1397169" y="9927335"/>
              <a:ext cx="1712512" cy="0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コネクタ 19">
              <a:extLst>
                <a:ext uri="{FF2B5EF4-FFF2-40B4-BE49-F238E27FC236}">
                  <a16:creationId xmlns:a16="http://schemas.microsoft.com/office/drawing/2014/main" id="{00000000-0008-0000-0D00-000014000000}"/>
                </a:ext>
              </a:extLst>
            </xdr:cNvPr>
            <xdr:cNvCxnSpPr/>
          </xdr:nvCxnSpPr>
          <xdr:spPr bwMode="auto">
            <a:xfrm flipH="1">
              <a:off x="2186625" y="9976781"/>
              <a:ext cx="291491" cy="2966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>
              <a:extLst>
                <a:ext uri="{FF2B5EF4-FFF2-40B4-BE49-F238E27FC236}">
                  <a16:creationId xmlns:a16="http://schemas.microsoft.com/office/drawing/2014/main" id="{00000000-0008-0000-0D00-000015000000}"/>
                </a:ext>
              </a:extLst>
            </xdr:cNvPr>
            <xdr:cNvCxnSpPr/>
          </xdr:nvCxnSpPr>
          <xdr:spPr bwMode="auto">
            <a:xfrm flipH="1">
              <a:off x="2247352" y="9976781"/>
              <a:ext cx="291491" cy="296672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直線矢印コネクタ 21">
              <a:extLst>
                <a:ext uri="{FF2B5EF4-FFF2-40B4-BE49-F238E27FC236}">
                  <a16:creationId xmlns:a16="http://schemas.microsoft.com/office/drawing/2014/main" id="{00000000-0008-0000-0D00-000016000000}"/>
                </a:ext>
              </a:extLst>
            </xdr:cNvPr>
            <xdr:cNvCxnSpPr/>
          </xdr:nvCxnSpPr>
          <xdr:spPr bwMode="auto">
            <a:xfrm>
              <a:off x="1494333" y="9927335"/>
              <a:ext cx="0" cy="395563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矢印コネクタ 22">
              <a:extLst>
                <a:ext uri="{FF2B5EF4-FFF2-40B4-BE49-F238E27FC236}">
                  <a16:creationId xmlns:a16="http://schemas.microsoft.com/office/drawing/2014/main" id="{00000000-0008-0000-0D00-000017000000}"/>
                </a:ext>
              </a:extLst>
            </xdr:cNvPr>
            <xdr:cNvCxnSpPr/>
          </xdr:nvCxnSpPr>
          <xdr:spPr bwMode="auto">
            <a:xfrm>
              <a:off x="474112" y="8382167"/>
              <a:ext cx="0" cy="1940731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直線矢印コネクタ 23">
              <a:extLst>
                <a:ext uri="{FF2B5EF4-FFF2-40B4-BE49-F238E27FC236}">
                  <a16:creationId xmlns:a16="http://schemas.microsoft.com/office/drawing/2014/main" id="{00000000-0008-0000-0D00-000018000000}"/>
                </a:ext>
              </a:extLst>
            </xdr:cNvPr>
            <xdr:cNvCxnSpPr/>
          </xdr:nvCxnSpPr>
          <xdr:spPr bwMode="auto">
            <a:xfrm flipH="1">
              <a:off x="741313" y="8172024"/>
              <a:ext cx="2951351" cy="0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" name="テキスト ボックス 47">
              <a:extLst>
                <a:ext uri="{FF2B5EF4-FFF2-40B4-BE49-F238E27FC236}">
                  <a16:creationId xmlns:a16="http://schemas.microsoft.com/office/drawing/2014/main" id="{00000000-0008-0000-0D00-000019000000}"/>
                </a:ext>
              </a:extLst>
            </xdr:cNvPr>
            <xdr:cNvSpPr txBox="1"/>
          </xdr:nvSpPr>
          <xdr:spPr bwMode="auto">
            <a:xfrm>
              <a:off x="2125898" y="10495957"/>
              <a:ext cx="619419" cy="32139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Ｌ３</a:t>
              </a:r>
            </a:p>
          </xdr:txBody>
        </xdr:sp>
        <xdr:sp macro="" textlink="">
          <xdr:nvSpPr>
            <xdr:cNvPr id="26" name="テキスト ボックス 48">
              <a:extLst>
                <a:ext uri="{FF2B5EF4-FFF2-40B4-BE49-F238E27FC236}">
                  <a16:creationId xmlns:a16="http://schemas.microsoft.com/office/drawing/2014/main" id="{00000000-0008-0000-0D00-00001A000000}"/>
                </a:ext>
              </a:extLst>
            </xdr:cNvPr>
            <xdr:cNvSpPr txBox="1"/>
          </xdr:nvSpPr>
          <xdr:spPr bwMode="auto">
            <a:xfrm>
              <a:off x="2101607" y="7875352"/>
              <a:ext cx="582983" cy="321395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Ｌ１</a:t>
              </a:r>
            </a:p>
          </xdr:txBody>
        </xdr:sp>
        <xdr:sp macro="" textlink="">
          <xdr:nvSpPr>
            <xdr:cNvPr id="27" name="テキスト ボックス 49">
              <a:extLst>
                <a:ext uri="{FF2B5EF4-FFF2-40B4-BE49-F238E27FC236}">
                  <a16:creationId xmlns:a16="http://schemas.microsoft.com/office/drawing/2014/main" id="{00000000-0008-0000-0D00-00001B000000}"/>
                </a:ext>
              </a:extLst>
            </xdr:cNvPr>
            <xdr:cNvSpPr txBox="1"/>
          </xdr:nvSpPr>
          <xdr:spPr bwMode="auto">
            <a:xfrm rot="16200000">
              <a:off x="966357" y="9795138"/>
              <a:ext cx="655151" cy="425092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Ｌ４</a:t>
              </a:r>
            </a:p>
          </xdr:txBody>
        </xdr:sp>
        <xdr:sp macro="" textlink="">
          <xdr:nvSpPr>
            <xdr:cNvPr id="28" name="テキスト ボックス 50">
              <a:extLst>
                <a:ext uri="{FF2B5EF4-FFF2-40B4-BE49-F238E27FC236}">
                  <a16:creationId xmlns:a16="http://schemas.microsoft.com/office/drawing/2014/main" id="{00000000-0008-0000-0D00-00001C000000}"/>
                </a:ext>
              </a:extLst>
            </xdr:cNvPr>
            <xdr:cNvSpPr txBox="1"/>
          </xdr:nvSpPr>
          <xdr:spPr bwMode="auto">
            <a:xfrm rot="16200000">
              <a:off x="-5713" y="8991219"/>
              <a:ext cx="704597" cy="376510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kumimoji="1" lang="ja-JP" altLang="en-US" sz="1200"/>
                <a:t>Ｌ２</a:t>
              </a:r>
            </a:p>
          </xdr:txBody>
        </xdr:sp>
        <xdr:cxnSp macro="">
          <xdr:nvCxnSpPr>
            <xdr:cNvPr id="29" name="直線矢印コネクタ 28">
              <a:extLst>
                <a:ext uri="{FF2B5EF4-FFF2-40B4-BE49-F238E27FC236}">
                  <a16:creationId xmlns:a16="http://schemas.microsoft.com/office/drawing/2014/main" id="{00000000-0008-0000-0D00-00001D000000}"/>
                </a:ext>
              </a:extLst>
            </xdr:cNvPr>
            <xdr:cNvCxnSpPr/>
          </xdr:nvCxnSpPr>
          <xdr:spPr bwMode="auto">
            <a:xfrm flipH="1">
              <a:off x="1785824" y="10495957"/>
              <a:ext cx="1020220" cy="0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00000000-0008-0000-0D00-00001E000000}"/>
                </a:ext>
              </a:extLst>
            </xdr:cNvPr>
            <xdr:cNvCxnSpPr/>
          </xdr:nvCxnSpPr>
          <xdr:spPr bwMode="auto">
            <a:xfrm>
              <a:off x="437676" y="10322898"/>
              <a:ext cx="3425025" cy="0"/>
            </a:xfrm>
            <a:prstGeom prst="line">
              <a:avLst/>
            </a:prstGeom>
            <a:ln w="12700">
              <a:solidFill>
                <a:schemeClr val="tx1"/>
              </a:solidFill>
              <a:prstDash val="lg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276225</xdr:rowOff>
    </xdr:from>
    <xdr:to>
      <xdr:col>7</xdr:col>
      <xdr:colOff>47625</xdr:colOff>
      <xdr:row>28</xdr:row>
      <xdr:rowOff>171450</xdr:rowOff>
    </xdr:to>
    <xdr:grpSp>
      <xdr:nvGrpSpPr>
        <xdr:cNvPr id="85417" name="グループ化 3">
          <a:extLst>
            <a:ext uri="{FF2B5EF4-FFF2-40B4-BE49-F238E27FC236}">
              <a16:creationId xmlns:a16="http://schemas.microsoft.com/office/drawing/2014/main" id="{00000000-0008-0000-0400-0000A94D0100}"/>
            </a:ext>
          </a:extLst>
        </xdr:cNvPr>
        <xdr:cNvGrpSpPr>
          <a:grpSpLocks/>
        </xdr:cNvGrpSpPr>
      </xdr:nvGrpSpPr>
      <xdr:grpSpPr bwMode="auto">
        <a:xfrm>
          <a:off x="485775" y="6981825"/>
          <a:ext cx="1762125" cy="2876550"/>
          <a:chOff x="428625" y="6858000"/>
          <a:chExt cx="1762125" cy="2876550"/>
        </a:xfrm>
      </xdr:grpSpPr>
      <xdr:pic>
        <xdr:nvPicPr>
          <xdr:cNvPr id="85419" name="Picture 1">
            <a:extLst>
              <a:ext uri="{FF2B5EF4-FFF2-40B4-BE49-F238E27FC236}">
                <a16:creationId xmlns:a16="http://schemas.microsoft.com/office/drawing/2014/main" id="{00000000-0008-0000-0400-0000AB4D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54</xdr:col>
      <xdr:colOff>661147</xdr:colOff>
      <xdr:row>35</xdr:row>
      <xdr:rowOff>47625</xdr:rowOff>
    </xdr:to>
    <xdr:pic>
      <xdr:nvPicPr>
        <xdr:cNvPr id="85418" name="図 5">
          <a:extLst>
            <a:ext uri="{FF2B5EF4-FFF2-40B4-BE49-F238E27FC236}">
              <a16:creationId xmlns:a16="http://schemas.microsoft.com/office/drawing/2014/main" id="{00000000-0008-0000-0400-0000AA4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00000000-0008-0000-0400-00000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00000000-0008-0000-0400-00000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00000000-0008-0000-0400-00000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00000000-0008-0000-0400-00000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84997" name="Check Box 5" hidden="1">
              <a:extLst>
                <a:ext uri="{63B3BB69-23CF-44E3-9099-C40C66FF867C}">
                  <a14:compatExt spid="_x0000_s84997"/>
                </a:ext>
                <a:ext uri="{FF2B5EF4-FFF2-40B4-BE49-F238E27FC236}">
                  <a16:creationId xmlns:a16="http://schemas.microsoft.com/office/drawing/2014/main" id="{00000000-0008-0000-0400-00000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84998" name="Check Box 6" hidden="1">
              <a:extLst>
                <a:ext uri="{63B3BB69-23CF-44E3-9099-C40C66FF867C}">
                  <a14:compatExt spid="_x0000_s84998"/>
                </a:ext>
                <a:ext uri="{FF2B5EF4-FFF2-40B4-BE49-F238E27FC236}">
                  <a16:creationId xmlns:a16="http://schemas.microsoft.com/office/drawing/2014/main" id="{00000000-0008-0000-0400-00000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84999" name="Check Box 7" hidden="1">
              <a:extLst>
                <a:ext uri="{63B3BB69-23CF-44E3-9099-C40C66FF867C}">
                  <a14:compatExt spid="_x0000_s84999"/>
                </a:ext>
                <a:ext uri="{FF2B5EF4-FFF2-40B4-BE49-F238E27FC236}">
                  <a16:creationId xmlns:a16="http://schemas.microsoft.com/office/drawing/2014/main" id="{00000000-0008-0000-0400-00000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85313" name="Check Box 321" hidden="1">
              <a:extLst>
                <a:ext uri="{63B3BB69-23CF-44E3-9099-C40C66FF867C}">
                  <a14:compatExt spid="_x0000_s85313"/>
                </a:ext>
                <a:ext uri="{FF2B5EF4-FFF2-40B4-BE49-F238E27FC236}">
                  <a16:creationId xmlns:a16="http://schemas.microsoft.com/office/drawing/2014/main" id="{00000000-0008-0000-0400-000041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85314" name="Check Box 322" hidden="1">
              <a:extLst>
                <a:ext uri="{63B3BB69-23CF-44E3-9099-C40C66FF867C}">
                  <a14:compatExt spid="_x0000_s85314"/>
                </a:ext>
                <a:ext uri="{FF2B5EF4-FFF2-40B4-BE49-F238E27FC236}">
                  <a16:creationId xmlns:a16="http://schemas.microsoft.com/office/drawing/2014/main" id="{00000000-0008-0000-0400-000042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85315" name="Check Box 323" hidden="1">
              <a:extLst>
                <a:ext uri="{63B3BB69-23CF-44E3-9099-C40C66FF867C}">
                  <a14:compatExt spid="_x0000_s85315"/>
                </a:ext>
                <a:ext uri="{FF2B5EF4-FFF2-40B4-BE49-F238E27FC236}">
                  <a16:creationId xmlns:a16="http://schemas.microsoft.com/office/drawing/2014/main" id="{00000000-0008-0000-0400-000043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85351" name="Check Box 359" hidden="1">
              <a:extLst>
                <a:ext uri="{63B3BB69-23CF-44E3-9099-C40C66FF867C}">
                  <a14:compatExt spid="_x0000_s85351"/>
                </a:ext>
                <a:ext uri="{FF2B5EF4-FFF2-40B4-BE49-F238E27FC236}">
                  <a16:creationId xmlns:a16="http://schemas.microsoft.com/office/drawing/2014/main" id="{00000000-0008-0000-0400-000067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85352" name="Check Box 360" hidden="1">
              <a:extLst>
                <a:ext uri="{63B3BB69-23CF-44E3-9099-C40C66FF867C}">
                  <a14:compatExt spid="_x0000_s85352"/>
                </a:ext>
                <a:ext uri="{FF2B5EF4-FFF2-40B4-BE49-F238E27FC236}">
                  <a16:creationId xmlns:a16="http://schemas.microsoft.com/office/drawing/2014/main" id="{00000000-0008-0000-0400-000068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85353" name="Check Box 361" hidden="1">
              <a:extLst>
                <a:ext uri="{63B3BB69-23CF-44E3-9099-C40C66FF867C}">
                  <a14:compatExt spid="_x0000_s85353"/>
                </a:ext>
                <a:ext uri="{FF2B5EF4-FFF2-40B4-BE49-F238E27FC236}">
                  <a16:creationId xmlns:a16="http://schemas.microsoft.com/office/drawing/2014/main" id="{00000000-0008-0000-0400-0000694D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276225</xdr:rowOff>
    </xdr:from>
    <xdr:to>
      <xdr:col>7</xdr:col>
      <xdr:colOff>47625</xdr:colOff>
      <xdr:row>28</xdr:row>
      <xdr:rowOff>171450</xdr:rowOff>
    </xdr:to>
    <xdr:grpSp>
      <xdr:nvGrpSpPr>
        <xdr:cNvPr id="110695" name="グループ化 3">
          <a:extLst>
            <a:ext uri="{FF2B5EF4-FFF2-40B4-BE49-F238E27FC236}">
              <a16:creationId xmlns:a16="http://schemas.microsoft.com/office/drawing/2014/main" id="{00000000-0008-0000-0500-000067B00100}"/>
            </a:ext>
          </a:extLst>
        </xdr:cNvPr>
        <xdr:cNvGrpSpPr>
          <a:grpSpLocks/>
        </xdr:cNvGrpSpPr>
      </xdr:nvGrpSpPr>
      <xdr:grpSpPr bwMode="auto">
        <a:xfrm>
          <a:off x="485775" y="6981825"/>
          <a:ext cx="1762125" cy="2876550"/>
          <a:chOff x="428625" y="6858000"/>
          <a:chExt cx="1762125" cy="2876550"/>
        </a:xfrm>
      </xdr:grpSpPr>
      <xdr:pic>
        <xdr:nvPicPr>
          <xdr:cNvPr id="110697" name="Picture 1">
            <a:extLst>
              <a:ext uri="{FF2B5EF4-FFF2-40B4-BE49-F238E27FC236}">
                <a16:creationId xmlns:a16="http://schemas.microsoft.com/office/drawing/2014/main" id="{00000000-0008-0000-0500-000069B0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55</xdr:col>
      <xdr:colOff>257736</xdr:colOff>
      <xdr:row>35</xdr:row>
      <xdr:rowOff>47625</xdr:rowOff>
    </xdr:to>
    <xdr:pic>
      <xdr:nvPicPr>
        <xdr:cNvPr id="110696" name="図 6">
          <a:extLst>
            <a:ext uri="{FF2B5EF4-FFF2-40B4-BE49-F238E27FC236}">
              <a16:creationId xmlns:a16="http://schemas.microsoft.com/office/drawing/2014/main" id="{00000000-0008-0000-0500-000068B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0593" name="Check Box 1" hidden="1">
              <a:extLst>
                <a:ext uri="{63B3BB69-23CF-44E3-9099-C40C66FF867C}">
                  <a14:compatExt spid="_x0000_s110593"/>
                </a:ext>
                <a:ext uri="{FF2B5EF4-FFF2-40B4-BE49-F238E27FC236}">
                  <a16:creationId xmlns:a16="http://schemas.microsoft.com/office/drawing/2014/main" id="{00000000-0008-0000-0500-000001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0594" name="Check Box 2" hidden="1">
              <a:extLst>
                <a:ext uri="{63B3BB69-23CF-44E3-9099-C40C66FF867C}">
                  <a14:compatExt spid="_x0000_s110594"/>
                </a:ext>
                <a:ext uri="{FF2B5EF4-FFF2-40B4-BE49-F238E27FC236}">
                  <a16:creationId xmlns:a16="http://schemas.microsoft.com/office/drawing/2014/main" id="{00000000-0008-0000-0500-000002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0595" name="Check Box 3" hidden="1">
              <a:extLst>
                <a:ext uri="{63B3BB69-23CF-44E3-9099-C40C66FF867C}">
                  <a14:compatExt spid="_x0000_s110595"/>
                </a:ext>
                <a:ext uri="{FF2B5EF4-FFF2-40B4-BE49-F238E27FC236}">
                  <a16:creationId xmlns:a16="http://schemas.microsoft.com/office/drawing/2014/main" id="{00000000-0008-0000-0500-000003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0596" name="Check Box 4" hidden="1">
              <a:extLst>
                <a:ext uri="{63B3BB69-23CF-44E3-9099-C40C66FF867C}">
                  <a14:compatExt spid="_x0000_s110596"/>
                </a:ext>
                <a:ext uri="{FF2B5EF4-FFF2-40B4-BE49-F238E27FC236}">
                  <a16:creationId xmlns:a16="http://schemas.microsoft.com/office/drawing/2014/main" id="{00000000-0008-0000-0500-000004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0597" name="Check Box 5" hidden="1">
              <a:extLst>
                <a:ext uri="{63B3BB69-23CF-44E3-9099-C40C66FF867C}">
                  <a14:compatExt spid="_x0000_s110597"/>
                </a:ext>
                <a:ext uri="{FF2B5EF4-FFF2-40B4-BE49-F238E27FC236}">
                  <a16:creationId xmlns:a16="http://schemas.microsoft.com/office/drawing/2014/main" id="{00000000-0008-0000-0500-000005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0598" name="Check Box 6" hidden="1">
              <a:extLst>
                <a:ext uri="{63B3BB69-23CF-44E3-9099-C40C66FF867C}">
                  <a14:compatExt spid="_x0000_s110598"/>
                </a:ext>
                <a:ext uri="{FF2B5EF4-FFF2-40B4-BE49-F238E27FC236}">
                  <a16:creationId xmlns:a16="http://schemas.microsoft.com/office/drawing/2014/main" id="{00000000-0008-0000-0500-000006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0599" name="Check Box 7" hidden="1">
              <a:extLst>
                <a:ext uri="{63B3BB69-23CF-44E3-9099-C40C66FF867C}">
                  <a14:compatExt spid="_x0000_s110599"/>
                </a:ext>
                <a:ext uri="{FF2B5EF4-FFF2-40B4-BE49-F238E27FC236}">
                  <a16:creationId xmlns:a16="http://schemas.microsoft.com/office/drawing/2014/main" id="{00000000-0008-0000-0500-000007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0600" name="Check Box 8" hidden="1">
              <a:extLst>
                <a:ext uri="{63B3BB69-23CF-44E3-9099-C40C66FF867C}">
                  <a14:compatExt spid="_x0000_s110600"/>
                </a:ext>
                <a:ext uri="{FF2B5EF4-FFF2-40B4-BE49-F238E27FC236}">
                  <a16:creationId xmlns:a16="http://schemas.microsoft.com/office/drawing/2014/main" id="{00000000-0008-0000-0500-000008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0601" name="Check Box 9" hidden="1">
              <a:extLst>
                <a:ext uri="{63B3BB69-23CF-44E3-9099-C40C66FF867C}">
                  <a14:compatExt spid="_x0000_s110601"/>
                </a:ext>
                <a:ext uri="{FF2B5EF4-FFF2-40B4-BE49-F238E27FC236}">
                  <a16:creationId xmlns:a16="http://schemas.microsoft.com/office/drawing/2014/main" id="{00000000-0008-0000-0500-000009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0602" name="Check Box 10" hidden="1">
              <a:extLst>
                <a:ext uri="{63B3BB69-23CF-44E3-9099-C40C66FF867C}">
                  <a14:compatExt spid="_x0000_s110602"/>
                </a:ext>
                <a:ext uri="{FF2B5EF4-FFF2-40B4-BE49-F238E27FC236}">
                  <a16:creationId xmlns:a16="http://schemas.microsoft.com/office/drawing/2014/main" id="{00000000-0008-0000-0500-00000A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0630" name="Check Box 38" hidden="1">
              <a:extLst>
                <a:ext uri="{63B3BB69-23CF-44E3-9099-C40C66FF867C}">
                  <a14:compatExt spid="_x0000_s110630"/>
                </a:ext>
                <a:ext uri="{FF2B5EF4-FFF2-40B4-BE49-F238E27FC236}">
                  <a16:creationId xmlns:a16="http://schemas.microsoft.com/office/drawing/2014/main" id="{00000000-0008-0000-0500-000026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0631" name="Check Box 39" hidden="1">
              <a:extLst>
                <a:ext uri="{63B3BB69-23CF-44E3-9099-C40C66FF867C}">
                  <a14:compatExt spid="_x0000_s110631"/>
                </a:ext>
                <a:ext uri="{FF2B5EF4-FFF2-40B4-BE49-F238E27FC236}">
                  <a16:creationId xmlns:a16="http://schemas.microsoft.com/office/drawing/2014/main" id="{00000000-0008-0000-0500-000027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0632" name="Check Box 40" hidden="1">
              <a:extLst>
                <a:ext uri="{63B3BB69-23CF-44E3-9099-C40C66FF867C}">
                  <a14:compatExt spid="_x0000_s110632"/>
                </a:ext>
                <a:ext uri="{FF2B5EF4-FFF2-40B4-BE49-F238E27FC236}">
                  <a16:creationId xmlns:a16="http://schemas.microsoft.com/office/drawing/2014/main" id="{00000000-0008-0000-0500-000028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19</xdr:row>
      <xdr:rowOff>276225</xdr:rowOff>
    </xdr:from>
    <xdr:to>
      <xdr:col>7</xdr:col>
      <xdr:colOff>57150</xdr:colOff>
      <xdr:row>28</xdr:row>
      <xdr:rowOff>171450</xdr:rowOff>
    </xdr:to>
    <xdr:grpSp>
      <xdr:nvGrpSpPr>
        <xdr:cNvPr id="111717" name="グループ化 3">
          <a:extLst>
            <a:ext uri="{FF2B5EF4-FFF2-40B4-BE49-F238E27FC236}">
              <a16:creationId xmlns:a16="http://schemas.microsoft.com/office/drawing/2014/main" id="{00000000-0008-0000-0600-000065B40100}"/>
            </a:ext>
          </a:extLst>
        </xdr:cNvPr>
        <xdr:cNvGrpSpPr>
          <a:grpSpLocks/>
        </xdr:cNvGrpSpPr>
      </xdr:nvGrpSpPr>
      <xdr:grpSpPr bwMode="auto">
        <a:xfrm>
          <a:off x="495300" y="6981825"/>
          <a:ext cx="1762125" cy="2876550"/>
          <a:chOff x="428625" y="6858000"/>
          <a:chExt cx="1762125" cy="2876550"/>
        </a:xfrm>
      </xdr:grpSpPr>
      <xdr:pic>
        <xdr:nvPicPr>
          <xdr:cNvPr id="111719" name="Picture 1">
            <a:extLst>
              <a:ext uri="{FF2B5EF4-FFF2-40B4-BE49-F238E27FC236}">
                <a16:creationId xmlns:a16="http://schemas.microsoft.com/office/drawing/2014/main" id="{00000000-0008-0000-0600-000067B4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54</xdr:col>
      <xdr:colOff>661147</xdr:colOff>
      <xdr:row>35</xdr:row>
      <xdr:rowOff>47625</xdr:rowOff>
    </xdr:to>
    <xdr:pic>
      <xdr:nvPicPr>
        <xdr:cNvPr id="111718" name="図 6">
          <a:extLst>
            <a:ext uri="{FF2B5EF4-FFF2-40B4-BE49-F238E27FC236}">
              <a16:creationId xmlns:a16="http://schemas.microsoft.com/office/drawing/2014/main" id="{00000000-0008-0000-0600-000066B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1617" name="Check Box 1" hidden="1">
              <a:extLst>
                <a:ext uri="{63B3BB69-23CF-44E3-9099-C40C66FF867C}">
                  <a14:compatExt spid="_x0000_s111617"/>
                </a:ext>
                <a:ext uri="{FF2B5EF4-FFF2-40B4-BE49-F238E27FC236}">
                  <a16:creationId xmlns:a16="http://schemas.microsoft.com/office/drawing/2014/main" id="{00000000-0008-0000-0600-000001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1618" name="Check Box 2" hidden="1">
              <a:extLst>
                <a:ext uri="{63B3BB69-23CF-44E3-9099-C40C66FF867C}">
                  <a14:compatExt spid="_x0000_s111618"/>
                </a:ext>
                <a:ext uri="{FF2B5EF4-FFF2-40B4-BE49-F238E27FC236}">
                  <a16:creationId xmlns:a16="http://schemas.microsoft.com/office/drawing/2014/main" id="{00000000-0008-0000-0600-000002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1619" name="Check Box 3" hidden="1">
              <a:extLst>
                <a:ext uri="{63B3BB69-23CF-44E3-9099-C40C66FF867C}">
                  <a14:compatExt spid="_x0000_s111619"/>
                </a:ext>
                <a:ext uri="{FF2B5EF4-FFF2-40B4-BE49-F238E27FC236}">
                  <a16:creationId xmlns:a16="http://schemas.microsoft.com/office/drawing/2014/main" id="{00000000-0008-0000-0600-000003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1620" name="Check Box 4" hidden="1">
              <a:extLst>
                <a:ext uri="{63B3BB69-23CF-44E3-9099-C40C66FF867C}">
                  <a14:compatExt spid="_x0000_s111620"/>
                </a:ext>
                <a:ext uri="{FF2B5EF4-FFF2-40B4-BE49-F238E27FC236}">
                  <a16:creationId xmlns:a16="http://schemas.microsoft.com/office/drawing/2014/main" id="{00000000-0008-0000-0600-000004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1621" name="Check Box 5" hidden="1">
              <a:extLst>
                <a:ext uri="{63B3BB69-23CF-44E3-9099-C40C66FF867C}">
                  <a14:compatExt spid="_x0000_s111621"/>
                </a:ext>
                <a:ext uri="{FF2B5EF4-FFF2-40B4-BE49-F238E27FC236}">
                  <a16:creationId xmlns:a16="http://schemas.microsoft.com/office/drawing/2014/main" id="{00000000-0008-0000-0600-000005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1622" name="Check Box 6" hidden="1">
              <a:extLst>
                <a:ext uri="{63B3BB69-23CF-44E3-9099-C40C66FF867C}">
                  <a14:compatExt spid="_x0000_s111622"/>
                </a:ext>
                <a:ext uri="{FF2B5EF4-FFF2-40B4-BE49-F238E27FC236}">
                  <a16:creationId xmlns:a16="http://schemas.microsoft.com/office/drawing/2014/main" id="{00000000-0008-0000-0600-000006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1623" name="Check Box 7" hidden="1">
              <a:extLst>
                <a:ext uri="{63B3BB69-23CF-44E3-9099-C40C66FF867C}">
                  <a14:compatExt spid="_x0000_s111623"/>
                </a:ext>
                <a:ext uri="{FF2B5EF4-FFF2-40B4-BE49-F238E27FC236}">
                  <a16:creationId xmlns:a16="http://schemas.microsoft.com/office/drawing/2014/main" id="{00000000-0008-0000-0600-000007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1624" name="Check Box 8" hidden="1">
              <a:extLst>
                <a:ext uri="{63B3BB69-23CF-44E3-9099-C40C66FF867C}">
                  <a14:compatExt spid="_x0000_s111624"/>
                </a:ext>
                <a:ext uri="{FF2B5EF4-FFF2-40B4-BE49-F238E27FC236}">
                  <a16:creationId xmlns:a16="http://schemas.microsoft.com/office/drawing/2014/main" id="{00000000-0008-0000-0600-000008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1625" name="Check Box 9" hidden="1">
              <a:extLst>
                <a:ext uri="{63B3BB69-23CF-44E3-9099-C40C66FF867C}">
                  <a14:compatExt spid="_x0000_s111625"/>
                </a:ext>
                <a:ext uri="{FF2B5EF4-FFF2-40B4-BE49-F238E27FC236}">
                  <a16:creationId xmlns:a16="http://schemas.microsoft.com/office/drawing/2014/main" id="{00000000-0008-0000-0600-000009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1626" name="Check Box 10" hidden="1">
              <a:extLst>
                <a:ext uri="{63B3BB69-23CF-44E3-9099-C40C66FF867C}">
                  <a14:compatExt spid="_x0000_s111626"/>
                </a:ext>
                <a:ext uri="{FF2B5EF4-FFF2-40B4-BE49-F238E27FC236}">
                  <a16:creationId xmlns:a16="http://schemas.microsoft.com/office/drawing/2014/main" id="{00000000-0008-0000-0600-00000A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1652" name="Check Box 36" hidden="1">
              <a:extLst>
                <a:ext uri="{63B3BB69-23CF-44E3-9099-C40C66FF867C}">
                  <a14:compatExt spid="_x0000_s111652"/>
                </a:ext>
                <a:ext uri="{FF2B5EF4-FFF2-40B4-BE49-F238E27FC236}">
                  <a16:creationId xmlns:a16="http://schemas.microsoft.com/office/drawing/2014/main" id="{00000000-0008-0000-0600-000024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1653" name="Check Box 37" hidden="1">
              <a:extLst>
                <a:ext uri="{63B3BB69-23CF-44E3-9099-C40C66FF867C}">
                  <a14:compatExt spid="_x0000_s111653"/>
                </a:ext>
                <a:ext uri="{FF2B5EF4-FFF2-40B4-BE49-F238E27FC236}">
                  <a16:creationId xmlns:a16="http://schemas.microsoft.com/office/drawing/2014/main" id="{00000000-0008-0000-0600-000025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1654" name="Check Box 38" hidden="1">
              <a:extLst>
                <a:ext uri="{63B3BB69-23CF-44E3-9099-C40C66FF867C}">
                  <a14:compatExt spid="_x0000_s111654"/>
                </a:ext>
                <a:ext uri="{FF2B5EF4-FFF2-40B4-BE49-F238E27FC236}">
                  <a16:creationId xmlns:a16="http://schemas.microsoft.com/office/drawing/2014/main" id="{00000000-0008-0000-0600-000026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285750</xdr:rowOff>
    </xdr:from>
    <xdr:to>
      <xdr:col>7</xdr:col>
      <xdr:colOff>47625</xdr:colOff>
      <xdr:row>28</xdr:row>
      <xdr:rowOff>180975</xdr:rowOff>
    </xdr:to>
    <xdr:grpSp>
      <xdr:nvGrpSpPr>
        <xdr:cNvPr id="112741" name="グループ化 3">
          <a:extLst>
            <a:ext uri="{FF2B5EF4-FFF2-40B4-BE49-F238E27FC236}">
              <a16:creationId xmlns:a16="http://schemas.microsoft.com/office/drawing/2014/main" id="{00000000-0008-0000-0700-000065B80100}"/>
            </a:ext>
          </a:extLst>
        </xdr:cNvPr>
        <xdr:cNvGrpSpPr>
          <a:grpSpLocks/>
        </xdr:cNvGrpSpPr>
      </xdr:nvGrpSpPr>
      <xdr:grpSpPr bwMode="auto">
        <a:xfrm>
          <a:off x="485775" y="6991350"/>
          <a:ext cx="1762125" cy="2876550"/>
          <a:chOff x="428625" y="6858000"/>
          <a:chExt cx="1762125" cy="2876550"/>
        </a:xfrm>
      </xdr:grpSpPr>
      <xdr:pic>
        <xdr:nvPicPr>
          <xdr:cNvPr id="112743" name="Picture 1">
            <a:extLst>
              <a:ext uri="{FF2B5EF4-FFF2-40B4-BE49-F238E27FC236}">
                <a16:creationId xmlns:a16="http://schemas.microsoft.com/office/drawing/2014/main" id="{00000000-0008-0000-0700-000067B8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54</xdr:col>
      <xdr:colOff>661147</xdr:colOff>
      <xdr:row>35</xdr:row>
      <xdr:rowOff>47625</xdr:rowOff>
    </xdr:to>
    <xdr:pic>
      <xdr:nvPicPr>
        <xdr:cNvPr id="112742" name="図 6">
          <a:extLst>
            <a:ext uri="{FF2B5EF4-FFF2-40B4-BE49-F238E27FC236}">
              <a16:creationId xmlns:a16="http://schemas.microsoft.com/office/drawing/2014/main" id="{00000000-0008-0000-0700-000066B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2641" name="Check Box 1" hidden="1">
              <a:extLst>
                <a:ext uri="{63B3BB69-23CF-44E3-9099-C40C66FF867C}">
                  <a14:compatExt spid="_x0000_s112641"/>
                </a:ext>
                <a:ext uri="{FF2B5EF4-FFF2-40B4-BE49-F238E27FC236}">
                  <a16:creationId xmlns:a16="http://schemas.microsoft.com/office/drawing/2014/main" id="{00000000-0008-0000-0700-000001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  <a:ext uri="{FF2B5EF4-FFF2-40B4-BE49-F238E27FC236}">
                  <a16:creationId xmlns:a16="http://schemas.microsoft.com/office/drawing/2014/main" id="{00000000-0008-0000-0700-000002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2643" name="Check Box 3" hidden="1">
              <a:extLst>
                <a:ext uri="{63B3BB69-23CF-44E3-9099-C40C66FF867C}">
                  <a14:compatExt spid="_x0000_s112643"/>
                </a:ext>
                <a:ext uri="{FF2B5EF4-FFF2-40B4-BE49-F238E27FC236}">
                  <a16:creationId xmlns:a16="http://schemas.microsoft.com/office/drawing/2014/main" id="{00000000-0008-0000-0700-000003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2644" name="Check Box 4" hidden="1">
              <a:extLst>
                <a:ext uri="{63B3BB69-23CF-44E3-9099-C40C66FF867C}">
                  <a14:compatExt spid="_x0000_s112644"/>
                </a:ext>
                <a:ext uri="{FF2B5EF4-FFF2-40B4-BE49-F238E27FC236}">
                  <a16:creationId xmlns:a16="http://schemas.microsoft.com/office/drawing/2014/main" id="{00000000-0008-0000-0700-000004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2645" name="Check Box 5" hidden="1">
              <a:extLst>
                <a:ext uri="{63B3BB69-23CF-44E3-9099-C40C66FF867C}">
                  <a14:compatExt spid="_x0000_s112645"/>
                </a:ext>
                <a:ext uri="{FF2B5EF4-FFF2-40B4-BE49-F238E27FC236}">
                  <a16:creationId xmlns:a16="http://schemas.microsoft.com/office/drawing/2014/main" id="{00000000-0008-0000-0700-000005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2646" name="Check Box 6" hidden="1">
              <a:extLst>
                <a:ext uri="{63B3BB69-23CF-44E3-9099-C40C66FF867C}">
                  <a14:compatExt spid="_x0000_s112646"/>
                </a:ext>
                <a:ext uri="{FF2B5EF4-FFF2-40B4-BE49-F238E27FC236}">
                  <a16:creationId xmlns:a16="http://schemas.microsoft.com/office/drawing/2014/main" id="{00000000-0008-0000-0700-00000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2647" name="Check Box 7" hidden="1">
              <a:extLst>
                <a:ext uri="{63B3BB69-23CF-44E3-9099-C40C66FF867C}">
                  <a14:compatExt spid="_x0000_s112647"/>
                </a:ext>
                <a:ext uri="{FF2B5EF4-FFF2-40B4-BE49-F238E27FC236}">
                  <a16:creationId xmlns:a16="http://schemas.microsoft.com/office/drawing/2014/main" id="{00000000-0008-0000-0700-000007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2648" name="Check Box 8" hidden="1">
              <a:extLst>
                <a:ext uri="{63B3BB69-23CF-44E3-9099-C40C66FF867C}">
                  <a14:compatExt spid="_x0000_s112648"/>
                </a:ext>
                <a:ext uri="{FF2B5EF4-FFF2-40B4-BE49-F238E27FC236}">
                  <a16:creationId xmlns:a16="http://schemas.microsoft.com/office/drawing/2014/main" id="{00000000-0008-0000-0700-000008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2649" name="Check Box 9" hidden="1">
              <a:extLst>
                <a:ext uri="{63B3BB69-23CF-44E3-9099-C40C66FF867C}">
                  <a14:compatExt spid="_x0000_s112649"/>
                </a:ext>
                <a:ext uri="{FF2B5EF4-FFF2-40B4-BE49-F238E27FC236}">
                  <a16:creationId xmlns:a16="http://schemas.microsoft.com/office/drawing/2014/main" id="{00000000-0008-0000-0700-000009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2650" name="Check Box 10" hidden="1">
              <a:extLst>
                <a:ext uri="{63B3BB69-23CF-44E3-9099-C40C66FF867C}">
                  <a14:compatExt spid="_x0000_s112650"/>
                </a:ext>
                <a:ext uri="{FF2B5EF4-FFF2-40B4-BE49-F238E27FC236}">
                  <a16:creationId xmlns:a16="http://schemas.microsoft.com/office/drawing/2014/main" id="{00000000-0008-0000-0700-00000A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2676" name="Check Box 36" hidden="1">
              <a:extLst>
                <a:ext uri="{63B3BB69-23CF-44E3-9099-C40C66FF867C}">
                  <a14:compatExt spid="_x0000_s112676"/>
                </a:ext>
                <a:ext uri="{FF2B5EF4-FFF2-40B4-BE49-F238E27FC236}">
                  <a16:creationId xmlns:a16="http://schemas.microsoft.com/office/drawing/2014/main" id="{00000000-0008-0000-0700-000024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2677" name="Check Box 37" hidden="1">
              <a:extLst>
                <a:ext uri="{63B3BB69-23CF-44E3-9099-C40C66FF867C}">
                  <a14:compatExt spid="_x0000_s112677"/>
                </a:ext>
                <a:ext uri="{FF2B5EF4-FFF2-40B4-BE49-F238E27FC236}">
                  <a16:creationId xmlns:a16="http://schemas.microsoft.com/office/drawing/2014/main" id="{00000000-0008-0000-0700-000025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2678" name="Check Box 38" hidden="1">
              <a:extLst>
                <a:ext uri="{63B3BB69-23CF-44E3-9099-C40C66FF867C}">
                  <a14:compatExt spid="_x0000_s112678"/>
                </a:ext>
                <a:ext uri="{FF2B5EF4-FFF2-40B4-BE49-F238E27FC236}">
                  <a16:creationId xmlns:a16="http://schemas.microsoft.com/office/drawing/2014/main" id="{00000000-0008-0000-0700-00002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285750</xdr:rowOff>
    </xdr:from>
    <xdr:to>
      <xdr:col>7</xdr:col>
      <xdr:colOff>47625</xdr:colOff>
      <xdr:row>28</xdr:row>
      <xdr:rowOff>180975</xdr:rowOff>
    </xdr:to>
    <xdr:grpSp>
      <xdr:nvGrpSpPr>
        <xdr:cNvPr id="113765" name="グループ化 3">
          <a:extLst>
            <a:ext uri="{FF2B5EF4-FFF2-40B4-BE49-F238E27FC236}">
              <a16:creationId xmlns:a16="http://schemas.microsoft.com/office/drawing/2014/main" id="{00000000-0008-0000-0800-000065BC0100}"/>
            </a:ext>
          </a:extLst>
        </xdr:cNvPr>
        <xdr:cNvGrpSpPr>
          <a:grpSpLocks/>
        </xdr:cNvGrpSpPr>
      </xdr:nvGrpSpPr>
      <xdr:grpSpPr bwMode="auto">
        <a:xfrm>
          <a:off x="485775" y="6991350"/>
          <a:ext cx="1762125" cy="2876550"/>
          <a:chOff x="428625" y="6858000"/>
          <a:chExt cx="1762125" cy="2876550"/>
        </a:xfrm>
      </xdr:grpSpPr>
      <xdr:pic>
        <xdr:nvPicPr>
          <xdr:cNvPr id="113767" name="Picture 1">
            <a:extLst>
              <a:ext uri="{FF2B5EF4-FFF2-40B4-BE49-F238E27FC236}">
                <a16:creationId xmlns:a16="http://schemas.microsoft.com/office/drawing/2014/main" id="{00000000-0008-0000-0800-000067BC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54</xdr:col>
      <xdr:colOff>661147</xdr:colOff>
      <xdr:row>35</xdr:row>
      <xdr:rowOff>47625</xdr:rowOff>
    </xdr:to>
    <xdr:pic>
      <xdr:nvPicPr>
        <xdr:cNvPr id="113766" name="図 6">
          <a:extLst>
            <a:ext uri="{FF2B5EF4-FFF2-40B4-BE49-F238E27FC236}">
              <a16:creationId xmlns:a16="http://schemas.microsoft.com/office/drawing/2014/main" id="{00000000-0008-0000-0800-000066B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3665" name="Check Box 1" hidden="1">
              <a:extLst>
                <a:ext uri="{63B3BB69-23CF-44E3-9099-C40C66FF867C}">
                  <a14:compatExt spid="_x0000_s113665"/>
                </a:ext>
                <a:ext uri="{FF2B5EF4-FFF2-40B4-BE49-F238E27FC236}">
                  <a16:creationId xmlns:a16="http://schemas.microsoft.com/office/drawing/2014/main" id="{00000000-0008-0000-08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3666" name="Check Box 2" hidden="1">
              <a:extLst>
                <a:ext uri="{63B3BB69-23CF-44E3-9099-C40C66FF867C}">
                  <a14:compatExt spid="_x0000_s113666"/>
                </a:ext>
                <a:ext uri="{FF2B5EF4-FFF2-40B4-BE49-F238E27FC236}">
                  <a16:creationId xmlns:a16="http://schemas.microsoft.com/office/drawing/2014/main" id="{00000000-0008-0000-08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3667" name="Check Box 3" hidden="1">
              <a:extLst>
                <a:ext uri="{63B3BB69-23CF-44E3-9099-C40C66FF867C}">
                  <a14:compatExt spid="_x0000_s113667"/>
                </a:ext>
                <a:ext uri="{FF2B5EF4-FFF2-40B4-BE49-F238E27FC236}">
                  <a16:creationId xmlns:a16="http://schemas.microsoft.com/office/drawing/2014/main" id="{00000000-0008-0000-0800-000003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3668" name="Check Box 4" hidden="1">
              <a:extLst>
                <a:ext uri="{63B3BB69-23CF-44E3-9099-C40C66FF867C}">
                  <a14:compatExt spid="_x0000_s113668"/>
                </a:ext>
                <a:ext uri="{FF2B5EF4-FFF2-40B4-BE49-F238E27FC236}">
                  <a16:creationId xmlns:a16="http://schemas.microsoft.com/office/drawing/2014/main" id="{00000000-0008-0000-0800-000004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3669" name="Check Box 5" hidden="1">
              <a:extLst>
                <a:ext uri="{63B3BB69-23CF-44E3-9099-C40C66FF867C}">
                  <a14:compatExt spid="_x0000_s113669"/>
                </a:ext>
                <a:ext uri="{FF2B5EF4-FFF2-40B4-BE49-F238E27FC236}">
                  <a16:creationId xmlns:a16="http://schemas.microsoft.com/office/drawing/2014/main" id="{00000000-0008-0000-0800-000005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3670" name="Check Box 6" hidden="1">
              <a:extLst>
                <a:ext uri="{63B3BB69-23CF-44E3-9099-C40C66FF867C}">
                  <a14:compatExt spid="_x0000_s113670"/>
                </a:ext>
                <a:ext uri="{FF2B5EF4-FFF2-40B4-BE49-F238E27FC236}">
                  <a16:creationId xmlns:a16="http://schemas.microsoft.com/office/drawing/2014/main" id="{00000000-0008-0000-0800-000006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3671" name="Check Box 7" hidden="1">
              <a:extLst>
                <a:ext uri="{63B3BB69-23CF-44E3-9099-C40C66FF867C}">
                  <a14:compatExt spid="_x0000_s113671"/>
                </a:ext>
                <a:ext uri="{FF2B5EF4-FFF2-40B4-BE49-F238E27FC236}">
                  <a16:creationId xmlns:a16="http://schemas.microsoft.com/office/drawing/2014/main" id="{00000000-0008-0000-0800-000007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3672" name="Check Box 8" hidden="1">
              <a:extLst>
                <a:ext uri="{63B3BB69-23CF-44E3-9099-C40C66FF867C}">
                  <a14:compatExt spid="_x0000_s113672"/>
                </a:ext>
                <a:ext uri="{FF2B5EF4-FFF2-40B4-BE49-F238E27FC236}">
                  <a16:creationId xmlns:a16="http://schemas.microsoft.com/office/drawing/2014/main" id="{00000000-0008-0000-0800-000008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3673" name="Check Box 9" hidden="1">
              <a:extLst>
                <a:ext uri="{63B3BB69-23CF-44E3-9099-C40C66FF867C}">
                  <a14:compatExt spid="_x0000_s113673"/>
                </a:ext>
                <a:ext uri="{FF2B5EF4-FFF2-40B4-BE49-F238E27FC236}">
                  <a16:creationId xmlns:a16="http://schemas.microsoft.com/office/drawing/2014/main" id="{00000000-0008-0000-0800-000009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3674" name="Check Box 10" hidden="1">
              <a:extLst>
                <a:ext uri="{63B3BB69-23CF-44E3-9099-C40C66FF867C}">
                  <a14:compatExt spid="_x0000_s113674"/>
                </a:ext>
                <a:ext uri="{FF2B5EF4-FFF2-40B4-BE49-F238E27FC236}">
                  <a16:creationId xmlns:a16="http://schemas.microsoft.com/office/drawing/2014/main" id="{00000000-0008-0000-0800-00000A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3700" name="Check Box 36" hidden="1">
              <a:extLst>
                <a:ext uri="{63B3BB69-23CF-44E3-9099-C40C66FF867C}">
                  <a14:compatExt spid="_x0000_s113700"/>
                </a:ext>
                <a:ext uri="{FF2B5EF4-FFF2-40B4-BE49-F238E27FC236}">
                  <a16:creationId xmlns:a16="http://schemas.microsoft.com/office/drawing/2014/main" id="{00000000-0008-0000-0800-000024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3701" name="Check Box 37" hidden="1">
              <a:extLst>
                <a:ext uri="{63B3BB69-23CF-44E3-9099-C40C66FF867C}">
                  <a14:compatExt spid="_x0000_s113701"/>
                </a:ext>
                <a:ext uri="{FF2B5EF4-FFF2-40B4-BE49-F238E27FC236}">
                  <a16:creationId xmlns:a16="http://schemas.microsoft.com/office/drawing/2014/main" id="{00000000-0008-0000-0800-000025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3702" name="Check Box 38" hidden="1">
              <a:extLst>
                <a:ext uri="{63B3BB69-23CF-44E3-9099-C40C66FF867C}">
                  <a14:compatExt spid="_x0000_s113702"/>
                </a:ext>
                <a:ext uri="{FF2B5EF4-FFF2-40B4-BE49-F238E27FC236}">
                  <a16:creationId xmlns:a16="http://schemas.microsoft.com/office/drawing/2014/main" id="{00000000-0008-0000-0800-000026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276225</xdr:rowOff>
    </xdr:from>
    <xdr:to>
      <xdr:col>7</xdr:col>
      <xdr:colOff>47625</xdr:colOff>
      <xdr:row>28</xdr:row>
      <xdr:rowOff>171450</xdr:rowOff>
    </xdr:to>
    <xdr:grpSp>
      <xdr:nvGrpSpPr>
        <xdr:cNvPr id="114789" name="グループ化 3">
          <a:extLst>
            <a:ext uri="{FF2B5EF4-FFF2-40B4-BE49-F238E27FC236}">
              <a16:creationId xmlns:a16="http://schemas.microsoft.com/office/drawing/2014/main" id="{00000000-0008-0000-0900-000065C00100}"/>
            </a:ext>
          </a:extLst>
        </xdr:cNvPr>
        <xdr:cNvGrpSpPr>
          <a:grpSpLocks/>
        </xdr:cNvGrpSpPr>
      </xdr:nvGrpSpPr>
      <xdr:grpSpPr bwMode="auto">
        <a:xfrm>
          <a:off x="485775" y="6981825"/>
          <a:ext cx="1762125" cy="2876550"/>
          <a:chOff x="428625" y="6858000"/>
          <a:chExt cx="1762125" cy="2876550"/>
        </a:xfrm>
      </xdr:grpSpPr>
      <xdr:pic>
        <xdr:nvPicPr>
          <xdr:cNvPr id="114791" name="Picture 1">
            <a:extLst>
              <a:ext uri="{FF2B5EF4-FFF2-40B4-BE49-F238E27FC236}">
                <a16:creationId xmlns:a16="http://schemas.microsoft.com/office/drawing/2014/main" id="{00000000-0008-0000-0900-000067C0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54</xdr:col>
      <xdr:colOff>661147</xdr:colOff>
      <xdr:row>35</xdr:row>
      <xdr:rowOff>47625</xdr:rowOff>
    </xdr:to>
    <xdr:pic>
      <xdr:nvPicPr>
        <xdr:cNvPr id="114790" name="図 6">
          <a:extLst>
            <a:ext uri="{FF2B5EF4-FFF2-40B4-BE49-F238E27FC236}">
              <a16:creationId xmlns:a16="http://schemas.microsoft.com/office/drawing/2014/main" id="{00000000-0008-0000-0900-000066C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900-00000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4690" name="Check Box 2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900-000002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4691" name="Check Box 3" hidden="1">
              <a:extLst>
                <a:ext uri="{63B3BB69-23CF-44E3-9099-C40C66FF867C}">
                  <a14:compatExt spid="_x0000_s114691"/>
                </a:ext>
                <a:ext uri="{FF2B5EF4-FFF2-40B4-BE49-F238E27FC236}">
                  <a16:creationId xmlns:a16="http://schemas.microsoft.com/office/drawing/2014/main" id="{00000000-0008-0000-0900-000003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4692" name="Check Box 4" hidden="1">
              <a:extLst>
                <a:ext uri="{63B3BB69-23CF-44E3-9099-C40C66FF867C}">
                  <a14:compatExt spid="_x0000_s114692"/>
                </a:ext>
                <a:ext uri="{FF2B5EF4-FFF2-40B4-BE49-F238E27FC236}">
                  <a16:creationId xmlns:a16="http://schemas.microsoft.com/office/drawing/2014/main" id="{00000000-0008-0000-0900-000004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4693" name="Check Box 5" hidden="1">
              <a:extLst>
                <a:ext uri="{63B3BB69-23CF-44E3-9099-C40C66FF867C}">
                  <a14:compatExt spid="_x0000_s114693"/>
                </a:ext>
                <a:ext uri="{FF2B5EF4-FFF2-40B4-BE49-F238E27FC236}">
                  <a16:creationId xmlns:a16="http://schemas.microsoft.com/office/drawing/2014/main" id="{00000000-0008-0000-0900-000005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4694" name="Check Box 6" hidden="1">
              <a:extLst>
                <a:ext uri="{63B3BB69-23CF-44E3-9099-C40C66FF867C}">
                  <a14:compatExt spid="_x0000_s114694"/>
                </a:ext>
                <a:ext uri="{FF2B5EF4-FFF2-40B4-BE49-F238E27FC236}">
                  <a16:creationId xmlns:a16="http://schemas.microsoft.com/office/drawing/2014/main" id="{00000000-0008-0000-0900-000006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4695" name="Check Box 7" hidden="1">
              <a:extLst>
                <a:ext uri="{63B3BB69-23CF-44E3-9099-C40C66FF867C}">
                  <a14:compatExt spid="_x0000_s114695"/>
                </a:ext>
                <a:ext uri="{FF2B5EF4-FFF2-40B4-BE49-F238E27FC236}">
                  <a16:creationId xmlns:a16="http://schemas.microsoft.com/office/drawing/2014/main" id="{00000000-0008-0000-0900-000007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4696" name="Check Box 8" hidden="1">
              <a:extLst>
                <a:ext uri="{63B3BB69-23CF-44E3-9099-C40C66FF867C}">
                  <a14:compatExt spid="_x0000_s114696"/>
                </a:ext>
                <a:ext uri="{FF2B5EF4-FFF2-40B4-BE49-F238E27FC236}">
                  <a16:creationId xmlns:a16="http://schemas.microsoft.com/office/drawing/2014/main" id="{00000000-0008-0000-0900-000008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4697" name="Check Box 9" hidden="1">
              <a:extLst>
                <a:ext uri="{63B3BB69-23CF-44E3-9099-C40C66FF867C}">
                  <a14:compatExt spid="_x0000_s114697"/>
                </a:ext>
                <a:ext uri="{FF2B5EF4-FFF2-40B4-BE49-F238E27FC236}">
                  <a16:creationId xmlns:a16="http://schemas.microsoft.com/office/drawing/2014/main" id="{00000000-0008-0000-0900-000009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4698" name="Check Box 10" hidden="1">
              <a:extLst>
                <a:ext uri="{63B3BB69-23CF-44E3-9099-C40C66FF867C}">
                  <a14:compatExt spid="_x0000_s114698"/>
                </a:ext>
                <a:ext uri="{FF2B5EF4-FFF2-40B4-BE49-F238E27FC236}">
                  <a16:creationId xmlns:a16="http://schemas.microsoft.com/office/drawing/2014/main" id="{00000000-0008-0000-0900-00000A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4724" name="Check Box 36" hidden="1">
              <a:extLst>
                <a:ext uri="{63B3BB69-23CF-44E3-9099-C40C66FF867C}">
                  <a14:compatExt spid="_x0000_s114724"/>
                </a:ext>
                <a:ext uri="{FF2B5EF4-FFF2-40B4-BE49-F238E27FC236}">
                  <a16:creationId xmlns:a16="http://schemas.microsoft.com/office/drawing/2014/main" id="{00000000-0008-0000-0900-000024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4725" name="Check Box 37" hidden="1">
              <a:extLst>
                <a:ext uri="{63B3BB69-23CF-44E3-9099-C40C66FF867C}">
                  <a14:compatExt spid="_x0000_s114725"/>
                </a:ext>
                <a:ext uri="{FF2B5EF4-FFF2-40B4-BE49-F238E27FC236}">
                  <a16:creationId xmlns:a16="http://schemas.microsoft.com/office/drawing/2014/main" id="{00000000-0008-0000-0900-000025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4726" name="Check Box 38" hidden="1">
              <a:extLst>
                <a:ext uri="{63B3BB69-23CF-44E3-9099-C40C66FF867C}">
                  <a14:compatExt spid="_x0000_s114726"/>
                </a:ext>
                <a:ext uri="{FF2B5EF4-FFF2-40B4-BE49-F238E27FC236}">
                  <a16:creationId xmlns:a16="http://schemas.microsoft.com/office/drawing/2014/main" id="{00000000-0008-0000-0900-000026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295275</xdr:rowOff>
    </xdr:from>
    <xdr:to>
      <xdr:col>7</xdr:col>
      <xdr:colOff>47625</xdr:colOff>
      <xdr:row>28</xdr:row>
      <xdr:rowOff>190500</xdr:rowOff>
    </xdr:to>
    <xdr:grpSp>
      <xdr:nvGrpSpPr>
        <xdr:cNvPr id="115814" name="グループ化 3">
          <a:extLst>
            <a:ext uri="{FF2B5EF4-FFF2-40B4-BE49-F238E27FC236}">
              <a16:creationId xmlns:a16="http://schemas.microsoft.com/office/drawing/2014/main" id="{00000000-0008-0000-0A00-000066C40100}"/>
            </a:ext>
          </a:extLst>
        </xdr:cNvPr>
        <xdr:cNvGrpSpPr>
          <a:grpSpLocks/>
        </xdr:cNvGrpSpPr>
      </xdr:nvGrpSpPr>
      <xdr:grpSpPr bwMode="auto">
        <a:xfrm>
          <a:off x="485775" y="7000875"/>
          <a:ext cx="1762125" cy="2876550"/>
          <a:chOff x="428625" y="6858000"/>
          <a:chExt cx="1762125" cy="2876550"/>
        </a:xfrm>
      </xdr:grpSpPr>
      <xdr:pic>
        <xdr:nvPicPr>
          <xdr:cNvPr id="115816" name="Picture 1">
            <a:extLst>
              <a:ext uri="{FF2B5EF4-FFF2-40B4-BE49-F238E27FC236}">
                <a16:creationId xmlns:a16="http://schemas.microsoft.com/office/drawing/2014/main" id="{00000000-0008-0000-0A00-000068C4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54</xdr:col>
      <xdr:colOff>661147</xdr:colOff>
      <xdr:row>35</xdr:row>
      <xdr:rowOff>47625</xdr:rowOff>
    </xdr:to>
    <xdr:pic>
      <xdr:nvPicPr>
        <xdr:cNvPr id="115815" name="図 6">
          <a:extLst>
            <a:ext uri="{FF2B5EF4-FFF2-40B4-BE49-F238E27FC236}">
              <a16:creationId xmlns:a16="http://schemas.microsoft.com/office/drawing/2014/main" id="{00000000-0008-0000-0A00-000067C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  <a:ext uri="{FF2B5EF4-FFF2-40B4-BE49-F238E27FC236}">
                  <a16:creationId xmlns:a16="http://schemas.microsoft.com/office/drawing/2014/main" id="{00000000-0008-0000-0A00-00000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5714" name="Check Box 2" hidden="1">
              <a:extLst>
                <a:ext uri="{63B3BB69-23CF-44E3-9099-C40C66FF867C}">
                  <a14:compatExt spid="_x0000_s115714"/>
                </a:ext>
                <a:ext uri="{FF2B5EF4-FFF2-40B4-BE49-F238E27FC236}">
                  <a16:creationId xmlns:a16="http://schemas.microsoft.com/office/drawing/2014/main" id="{00000000-0008-0000-0A00-00000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5715" name="Check Box 3" hidden="1">
              <a:extLst>
                <a:ext uri="{63B3BB69-23CF-44E3-9099-C40C66FF867C}">
                  <a14:compatExt spid="_x0000_s115715"/>
                </a:ext>
                <a:ext uri="{FF2B5EF4-FFF2-40B4-BE49-F238E27FC236}">
                  <a16:creationId xmlns:a16="http://schemas.microsoft.com/office/drawing/2014/main" id="{00000000-0008-0000-0A00-00000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5716" name="Check Box 4" hidden="1">
              <a:extLst>
                <a:ext uri="{63B3BB69-23CF-44E3-9099-C40C66FF867C}">
                  <a14:compatExt spid="_x0000_s115716"/>
                </a:ext>
                <a:ext uri="{FF2B5EF4-FFF2-40B4-BE49-F238E27FC236}">
                  <a16:creationId xmlns:a16="http://schemas.microsoft.com/office/drawing/2014/main" id="{00000000-0008-0000-0A00-00000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5717" name="Check Box 5" hidden="1">
              <a:extLst>
                <a:ext uri="{63B3BB69-23CF-44E3-9099-C40C66FF867C}">
                  <a14:compatExt spid="_x0000_s115717"/>
                </a:ext>
                <a:ext uri="{FF2B5EF4-FFF2-40B4-BE49-F238E27FC236}">
                  <a16:creationId xmlns:a16="http://schemas.microsoft.com/office/drawing/2014/main" id="{00000000-0008-0000-0A00-00000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5718" name="Check Box 6" hidden="1">
              <a:extLst>
                <a:ext uri="{63B3BB69-23CF-44E3-9099-C40C66FF867C}">
                  <a14:compatExt spid="_x0000_s115718"/>
                </a:ext>
                <a:ext uri="{FF2B5EF4-FFF2-40B4-BE49-F238E27FC236}">
                  <a16:creationId xmlns:a16="http://schemas.microsoft.com/office/drawing/2014/main" id="{00000000-0008-0000-0A00-00000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5719" name="Check Box 7" hidden="1">
              <a:extLst>
                <a:ext uri="{63B3BB69-23CF-44E3-9099-C40C66FF867C}">
                  <a14:compatExt spid="_x0000_s115719"/>
                </a:ext>
                <a:ext uri="{FF2B5EF4-FFF2-40B4-BE49-F238E27FC236}">
                  <a16:creationId xmlns:a16="http://schemas.microsoft.com/office/drawing/2014/main" id="{00000000-0008-0000-0A00-00000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5720" name="Check Box 8" hidden="1">
              <a:extLst>
                <a:ext uri="{63B3BB69-23CF-44E3-9099-C40C66FF867C}">
                  <a14:compatExt spid="_x0000_s115720"/>
                </a:ext>
                <a:ext uri="{FF2B5EF4-FFF2-40B4-BE49-F238E27FC236}">
                  <a16:creationId xmlns:a16="http://schemas.microsoft.com/office/drawing/2014/main" id="{00000000-0008-0000-0A00-00000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5721" name="Check Box 9" hidden="1">
              <a:extLst>
                <a:ext uri="{63B3BB69-23CF-44E3-9099-C40C66FF867C}">
                  <a14:compatExt spid="_x0000_s115721"/>
                </a:ext>
                <a:ext uri="{FF2B5EF4-FFF2-40B4-BE49-F238E27FC236}">
                  <a16:creationId xmlns:a16="http://schemas.microsoft.com/office/drawing/2014/main" id="{00000000-0008-0000-0A00-00000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5722" name="Check Box 10" hidden="1">
              <a:extLst>
                <a:ext uri="{63B3BB69-23CF-44E3-9099-C40C66FF867C}">
                  <a14:compatExt spid="_x0000_s115722"/>
                </a:ext>
                <a:ext uri="{FF2B5EF4-FFF2-40B4-BE49-F238E27FC236}">
                  <a16:creationId xmlns:a16="http://schemas.microsoft.com/office/drawing/2014/main" id="{00000000-0008-0000-0A00-00000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5749" name="Check Box 37" hidden="1">
              <a:extLst>
                <a:ext uri="{63B3BB69-23CF-44E3-9099-C40C66FF867C}">
                  <a14:compatExt spid="_x0000_s115749"/>
                </a:ext>
                <a:ext uri="{FF2B5EF4-FFF2-40B4-BE49-F238E27FC236}">
                  <a16:creationId xmlns:a16="http://schemas.microsoft.com/office/drawing/2014/main" id="{00000000-0008-0000-0A00-00002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5750" name="Check Box 38" hidden="1">
              <a:extLst>
                <a:ext uri="{63B3BB69-23CF-44E3-9099-C40C66FF867C}">
                  <a14:compatExt spid="_x0000_s115750"/>
                </a:ext>
                <a:ext uri="{FF2B5EF4-FFF2-40B4-BE49-F238E27FC236}">
                  <a16:creationId xmlns:a16="http://schemas.microsoft.com/office/drawing/2014/main" id="{00000000-0008-0000-0A00-00002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5751" name="Check Box 39" hidden="1">
              <a:extLst>
                <a:ext uri="{63B3BB69-23CF-44E3-9099-C40C66FF867C}">
                  <a14:compatExt spid="_x0000_s115751"/>
                </a:ext>
                <a:ext uri="{FF2B5EF4-FFF2-40B4-BE49-F238E27FC236}">
                  <a16:creationId xmlns:a16="http://schemas.microsoft.com/office/drawing/2014/main" id="{00000000-0008-0000-0A00-00002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19</xdr:row>
      <xdr:rowOff>285750</xdr:rowOff>
    </xdr:from>
    <xdr:to>
      <xdr:col>7</xdr:col>
      <xdr:colOff>57150</xdr:colOff>
      <xdr:row>28</xdr:row>
      <xdr:rowOff>180975</xdr:rowOff>
    </xdr:to>
    <xdr:grpSp>
      <xdr:nvGrpSpPr>
        <xdr:cNvPr id="116837" name="グループ化 3">
          <a:extLst>
            <a:ext uri="{FF2B5EF4-FFF2-40B4-BE49-F238E27FC236}">
              <a16:creationId xmlns:a16="http://schemas.microsoft.com/office/drawing/2014/main" id="{00000000-0008-0000-0B00-000065C80100}"/>
            </a:ext>
          </a:extLst>
        </xdr:cNvPr>
        <xdr:cNvGrpSpPr>
          <a:grpSpLocks/>
        </xdr:cNvGrpSpPr>
      </xdr:nvGrpSpPr>
      <xdr:grpSpPr bwMode="auto">
        <a:xfrm>
          <a:off x="495300" y="6991350"/>
          <a:ext cx="1762125" cy="2876550"/>
          <a:chOff x="428625" y="6858000"/>
          <a:chExt cx="1762125" cy="2876550"/>
        </a:xfrm>
      </xdr:grpSpPr>
      <xdr:pic>
        <xdr:nvPicPr>
          <xdr:cNvPr id="116839" name="Picture 1">
            <a:extLst>
              <a:ext uri="{FF2B5EF4-FFF2-40B4-BE49-F238E27FC236}">
                <a16:creationId xmlns:a16="http://schemas.microsoft.com/office/drawing/2014/main" id="{00000000-0008-0000-0B00-000067C8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8625" y="6858000"/>
            <a:ext cx="1762125" cy="2257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 txBox="1"/>
        </xdr:nvSpPr>
        <xdr:spPr>
          <a:xfrm>
            <a:off x="638175" y="9458325"/>
            <a:ext cx="14382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日除け寸法の取り方</a:t>
            </a:r>
          </a:p>
        </xdr:txBody>
      </xdr:sp>
    </xdr:grpSp>
    <xdr:clientData/>
  </xdr:twoCellAnchor>
  <xdr:twoCellAnchor editAs="oneCell">
    <xdr:from>
      <xdr:col>28</xdr:col>
      <xdr:colOff>0</xdr:colOff>
      <xdr:row>26</xdr:row>
      <xdr:rowOff>0</xdr:rowOff>
    </xdr:from>
    <xdr:to>
      <xdr:col>54</xdr:col>
      <xdr:colOff>661147</xdr:colOff>
      <xdr:row>35</xdr:row>
      <xdr:rowOff>47625</xdr:rowOff>
    </xdr:to>
    <xdr:pic>
      <xdr:nvPicPr>
        <xdr:cNvPr id="116838" name="図 6">
          <a:extLst>
            <a:ext uri="{FF2B5EF4-FFF2-40B4-BE49-F238E27FC236}">
              <a16:creationId xmlns:a16="http://schemas.microsoft.com/office/drawing/2014/main" id="{00000000-0008-0000-0B00-000066C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300" y="9077325"/>
          <a:ext cx="5400675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6</xdr:row>
          <xdr:rowOff>133350</xdr:rowOff>
        </xdr:from>
        <xdr:to>
          <xdr:col>13</xdr:col>
          <xdr:colOff>190500</xdr:colOff>
          <xdr:row>6</xdr:row>
          <xdr:rowOff>342900</xdr:rowOff>
        </xdr:to>
        <xdr:sp macro="" textlink="">
          <xdr:nvSpPr>
            <xdr:cNvPr id="116737" name="Check Box 1" hidden="1">
              <a:extLst>
                <a:ext uri="{63B3BB69-23CF-44E3-9099-C40C66FF867C}">
                  <a14:compatExt spid="_x0000_s116737"/>
                </a:ext>
                <a:ext uri="{FF2B5EF4-FFF2-40B4-BE49-F238E27FC236}">
                  <a16:creationId xmlns:a16="http://schemas.microsoft.com/office/drawing/2014/main" id="{00000000-0008-0000-0B00-00000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7</xdr:row>
          <xdr:rowOff>133350</xdr:rowOff>
        </xdr:from>
        <xdr:to>
          <xdr:col>13</xdr:col>
          <xdr:colOff>190500</xdr:colOff>
          <xdr:row>7</xdr:row>
          <xdr:rowOff>342900</xdr:rowOff>
        </xdr:to>
        <xdr:sp macro="" textlink="">
          <xdr:nvSpPr>
            <xdr:cNvPr id="116738" name="Check Box 2" hidden="1">
              <a:extLst>
                <a:ext uri="{63B3BB69-23CF-44E3-9099-C40C66FF867C}">
                  <a14:compatExt spid="_x0000_s116738"/>
                </a:ext>
                <a:ext uri="{FF2B5EF4-FFF2-40B4-BE49-F238E27FC236}">
                  <a16:creationId xmlns:a16="http://schemas.microsoft.com/office/drawing/2014/main" id="{00000000-0008-0000-0B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11</xdr:row>
          <xdr:rowOff>133350</xdr:rowOff>
        </xdr:from>
        <xdr:to>
          <xdr:col>13</xdr:col>
          <xdr:colOff>190500</xdr:colOff>
          <xdr:row>11</xdr:row>
          <xdr:rowOff>342900</xdr:rowOff>
        </xdr:to>
        <xdr:sp macro="" textlink="">
          <xdr:nvSpPr>
            <xdr:cNvPr id="116739" name="Check Box 3" hidden="1">
              <a:extLst>
                <a:ext uri="{63B3BB69-23CF-44E3-9099-C40C66FF867C}">
                  <a14:compatExt spid="_x0000_s116739"/>
                </a:ext>
                <a:ext uri="{FF2B5EF4-FFF2-40B4-BE49-F238E27FC236}">
                  <a16:creationId xmlns:a16="http://schemas.microsoft.com/office/drawing/2014/main" id="{00000000-0008-0000-0B00-00000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13</xdr:col>
          <xdr:colOff>190500</xdr:colOff>
          <xdr:row>12</xdr:row>
          <xdr:rowOff>342900</xdr:rowOff>
        </xdr:to>
        <xdr:sp macro="" textlink="">
          <xdr:nvSpPr>
            <xdr:cNvPr id="116740" name="Check Box 4" hidden="1">
              <a:extLst>
                <a:ext uri="{63B3BB69-23CF-44E3-9099-C40C66FF867C}">
                  <a14:compatExt spid="_x0000_s116740"/>
                </a:ext>
                <a:ext uri="{FF2B5EF4-FFF2-40B4-BE49-F238E27FC236}">
                  <a16:creationId xmlns:a16="http://schemas.microsoft.com/office/drawing/2014/main" id="{00000000-0008-0000-0B00-00000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13</xdr:row>
          <xdr:rowOff>133350</xdr:rowOff>
        </xdr:from>
        <xdr:to>
          <xdr:col>13</xdr:col>
          <xdr:colOff>190500</xdr:colOff>
          <xdr:row>13</xdr:row>
          <xdr:rowOff>342900</xdr:rowOff>
        </xdr:to>
        <xdr:sp macro="" textlink="">
          <xdr:nvSpPr>
            <xdr:cNvPr id="116741" name="Check Box 5" hidden="1">
              <a:extLst>
                <a:ext uri="{63B3BB69-23CF-44E3-9099-C40C66FF867C}">
                  <a14:compatExt spid="_x0000_s116741"/>
                </a:ext>
                <a:ext uri="{FF2B5EF4-FFF2-40B4-BE49-F238E27FC236}">
                  <a16:creationId xmlns:a16="http://schemas.microsoft.com/office/drawing/2014/main" id="{00000000-0008-0000-0B00-00000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14</xdr:row>
          <xdr:rowOff>133350</xdr:rowOff>
        </xdr:from>
        <xdr:to>
          <xdr:col>13</xdr:col>
          <xdr:colOff>190500</xdr:colOff>
          <xdr:row>14</xdr:row>
          <xdr:rowOff>342900</xdr:rowOff>
        </xdr:to>
        <xdr:sp macro="" textlink="">
          <xdr:nvSpPr>
            <xdr:cNvPr id="116742" name="Check Box 6" hidden="1">
              <a:extLst>
                <a:ext uri="{63B3BB69-23CF-44E3-9099-C40C66FF867C}">
                  <a14:compatExt spid="_x0000_s116742"/>
                </a:ext>
                <a:ext uri="{FF2B5EF4-FFF2-40B4-BE49-F238E27FC236}">
                  <a16:creationId xmlns:a16="http://schemas.microsoft.com/office/drawing/2014/main" id="{00000000-0008-0000-0B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15</xdr:row>
          <xdr:rowOff>133350</xdr:rowOff>
        </xdr:from>
        <xdr:to>
          <xdr:col>13</xdr:col>
          <xdr:colOff>190500</xdr:colOff>
          <xdr:row>15</xdr:row>
          <xdr:rowOff>342900</xdr:rowOff>
        </xdr:to>
        <xdr:sp macro="" textlink="">
          <xdr:nvSpPr>
            <xdr:cNvPr id="116743" name="Check Box 7" hidden="1">
              <a:extLst>
                <a:ext uri="{63B3BB69-23CF-44E3-9099-C40C66FF867C}">
                  <a14:compatExt spid="_x0000_s116743"/>
                </a:ext>
                <a:ext uri="{FF2B5EF4-FFF2-40B4-BE49-F238E27FC236}">
                  <a16:creationId xmlns:a16="http://schemas.microsoft.com/office/drawing/2014/main" id="{00000000-0008-0000-0B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8</xdr:row>
          <xdr:rowOff>133350</xdr:rowOff>
        </xdr:from>
        <xdr:to>
          <xdr:col>13</xdr:col>
          <xdr:colOff>190500</xdr:colOff>
          <xdr:row>8</xdr:row>
          <xdr:rowOff>342900</xdr:rowOff>
        </xdr:to>
        <xdr:sp macro="" textlink="">
          <xdr:nvSpPr>
            <xdr:cNvPr id="116744" name="Check Box 8" hidden="1">
              <a:extLst>
                <a:ext uri="{63B3BB69-23CF-44E3-9099-C40C66FF867C}">
                  <a14:compatExt spid="_x0000_s116744"/>
                </a:ext>
                <a:ext uri="{FF2B5EF4-FFF2-40B4-BE49-F238E27FC236}">
                  <a16:creationId xmlns:a16="http://schemas.microsoft.com/office/drawing/2014/main" id="{00000000-0008-0000-0B00-00000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9</xdr:row>
          <xdr:rowOff>133350</xdr:rowOff>
        </xdr:from>
        <xdr:to>
          <xdr:col>13</xdr:col>
          <xdr:colOff>190500</xdr:colOff>
          <xdr:row>9</xdr:row>
          <xdr:rowOff>342900</xdr:rowOff>
        </xdr:to>
        <xdr:sp macro="" textlink="">
          <xdr:nvSpPr>
            <xdr:cNvPr id="116745" name="Check Box 9" hidden="1">
              <a:extLst>
                <a:ext uri="{63B3BB69-23CF-44E3-9099-C40C66FF867C}">
                  <a14:compatExt spid="_x0000_s116745"/>
                </a:ext>
                <a:ext uri="{FF2B5EF4-FFF2-40B4-BE49-F238E27FC236}">
                  <a16:creationId xmlns:a16="http://schemas.microsoft.com/office/drawing/2014/main" id="{00000000-0008-0000-0B00-00000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10</xdr:row>
          <xdr:rowOff>133350</xdr:rowOff>
        </xdr:from>
        <xdr:to>
          <xdr:col>13</xdr:col>
          <xdr:colOff>190500</xdr:colOff>
          <xdr:row>10</xdr:row>
          <xdr:rowOff>342900</xdr:rowOff>
        </xdr:to>
        <xdr:sp macro="" textlink="">
          <xdr:nvSpPr>
            <xdr:cNvPr id="116746" name="Check Box 10" hidden="1">
              <a:extLst>
                <a:ext uri="{63B3BB69-23CF-44E3-9099-C40C66FF867C}">
                  <a14:compatExt spid="_x0000_s116746"/>
                </a:ext>
                <a:ext uri="{FF2B5EF4-FFF2-40B4-BE49-F238E27FC236}">
                  <a16:creationId xmlns:a16="http://schemas.microsoft.com/office/drawing/2014/main" id="{00000000-0008-0000-0B00-00000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28</xdr:row>
          <xdr:rowOff>38100</xdr:rowOff>
        </xdr:from>
        <xdr:to>
          <xdr:col>19</xdr:col>
          <xdr:colOff>190500</xdr:colOff>
          <xdr:row>28</xdr:row>
          <xdr:rowOff>247650</xdr:rowOff>
        </xdr:to>
        <xdr:sp macro="" textlink="">
          <xdr:nvSpPr>
            <xdr:cNvPr id="116772" name="Check Box 36" hidden="1">
              <a:extLst>
                <a:ext uri="{63B3BB69-23CF-44E3-9099-C40C66FF867C}">
                  <a14:compatExt spid="_x0000_s116772"/>
                </a:ext>
                <a:ext uri="{FF2B5EF4-FFF2-40B4-BE49-F238E27FC236}">
                  <a16:creationId xmlns:a16="http://schemas.microsoft.com/office/drawing/2014/main" id="{00000000-0008-0000-0B00-00002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38100</xdr:rowOff>
        </xdr:from>
        <xdr:to>
          <xdr:col>19</xdr:col>
          <xdr:colOff>190500</xdr:colOff>
          <xdr:row>29</xdr:row>
          <xdr:rowOff>247650</xdr:rowOff>
        </xdr:to>
        <xdr:sp macro="" textlink="">
          <xdr:nvSpPr>
            <xdr:cNvPr id="116773" name="Check Box 37" hidden="1">
              <a:extLst>
                <a:ext uri="{63B3BB69-23CF-44E3-9099-C40C66FF867C}">
                  <a14:compatExt spid="_x0000_s116773"/>
                </a:ext>
                <a:ext uri="{FF2B5EF4-FFF2-40B4-BE49-F238E27FC236}">
                  <a16:creationId xmlns:a16="http://schemas.microsoft.com/office/drawing/2014/main" id="{00000000-0008-0000-0B00-00002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30</xdr:row>
          <xdr:rowOff>38100</xdr:rowOff>
        </xdr:from>
        <xdr:to>
          <xdr:col>19</xdr:col>
          <xdr:colOff>190500</xdr:colOff>
          <xdr:row>30</xdr:row>
          <xdr:rowOff>247650</xdr:rowOff>
        </xdr:to>
        <xdr:sp macro="" textlink="">
          <xdr:nvSpPr>
            <xdr:cNvPr id="116774" name="Check Box 38" hidden="1">
              <a:extLst>
                <a:ext uri="{63B3BB69-23CF-44E3-9099-C40C66FF867C}">
                  <a14:compatExt spid="_x0000_s116774"/>
                </a:ext>
                <a:ext uri="{FF2B5EF4-FFF2-40B4-BE49-F238E27FC236}">
                  <a16:creationId xmlns:a16="http://schemas.microsoft.com/office/drawing/2014/main" id="{00000000-0008-0000-0B00-00002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.xml"/><Relationship Id="rId13" Type="http://schemas.openxmlformats.org/officeDocument/2006/relationships/ctrlProp" Target="../ctrlProps/ctrlProp78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72.xml"/><Relationship Id="rId12" Type="http://schemas.openxmlformats.org/officeDocument/2006/relationships/ctrlProp" Target="../ctrlProps/ctrlProp77.xml"/><Relationship Id="rId17" Type="http://schemas.openxmlformats.org/officeDocument/2006/relationships/comments" Target="../comments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1.xml"/><Relationship Id="rId11" Type="http://schemas.openxmlformats.org/officeDocument/2006/relationships/ctrlProp" Target="../ctrlProps/ctrlProp76.xml"/><Relationship Id="rId5" Type="http://schemas.openxmlformats.org/officeDocument/2006/relationships/ctrlProp" Target="../ctrlProps/ctrlProp70.xml"/><Relationship Id="rId15" Type="http://schemas.openxmlformats.org/officeDocument/2006/relationships/ctrlProp" Target="../ctrlProps/ctrlProp80.xml"/><Relationship Id="rId10" Type="http://schemas.openxmlformats.org/officeDocument/2006/relationships/ctrlProp" Target="../ctrlProps/ctrlProp75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Relationship Id="rId14" Type="http://schemas.openxmlformats.org/officeDocument/2006/relationships/ctrlProp" Target="../ctrlProps/ctrlProp7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trlProp" Target="../ctrlProps/ctrlProp91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17" Type="http://schemas.openxmlformats.org/officeDocument/2006/relationships/comments" Target="../comments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5" Type="http://schemas.openxmlformats.org/officeDocument/2006/relationships/ctrlProp" Target="../ctrlProps/ctrlProp83.xml"/><Relationship Id="rId15" Type="http://schemas.openxmlformats.org/officeDocument/2006/relationships/ctrlProp" Target="../ctrlProps/ctrlProp93.xml"/><Relationship Id="rId10" Type="http://schemas.openxmlformats.org/officeDocument/2006/relationships/ctrlProp" Target="../ctrlProps/ctrlProp88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Relationship Id="rId14" Type="http://schemas.openxmlformats.org/officeDocument/2006/relationships/ctrlProp" Target="../ctrlProps/ctrlProp9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.xml"/><Relationship Id="rId13" Type="http://schemas.openxmlformats.org/officeDocument/2006/relationships/ctrlProp" Target="../ctrlProps/ctrlProp104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17" Type="http://schemas.openxmlformats.org/officeDocument/2006/relationships/comments" Target="../comments8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07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5" Type="http://schemas.openxmlformats.org/officeDocument/2006/relationships/ctrlProp" Target="../ctrlProps/ctrlProp96.xml"/><Relationship Id="rId15" Type="http://schemas.openxmlformats.org/officeDocument/2006/relationships/ctrlProp" Target="../ctrlProps/ctrlProp106.xml"/><Relationship Id="rId10" Type="http://schemas.openxmlformats.org/officeDocument/2006/relationships/ctrlProp" Target="../ctrlProps/ctrlProp101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omments" Target="../comments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omments" Target="../comments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omments" Target="../comments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13" Type="http://schemas.openxmlformats.org/officeDocument/2006/relationships/ctrlProp" Target="../ctrlProps/ctrlProp5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17" Type="http://schemas.openxmlformats.org/officeDocument/2006/relationships/comments" Target="../comments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omments" Target="../comments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10" Type="http://schemas.openxmlformats.org/officeDocument/2006/relationships/ctrlProp" Target="../ctrlProps/ctrlProp62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showGridLines="0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5.125" style="204" customWidth="1"/>
    <col min="2" max="2" width="83.625" style="204" customWidth="1"/>
    <col min="3" max="3" width="9" style="204" customWidth="1"/>
    <col min="4" max="16384" width="9" style="204"/>
  </cols>
  <sheetData>
    <row r="1" spans="1:2" ht="25.5" customHeight="1" x14ac:dyDescent="0.15">
      <c r="A1" s="248" t="s">
        <v>825</v>
      </c>
      <c r="B1" s="248"/>
    </row>
    <row r="3" spans="1:2" ht="40.5" x14ac:dyDescent="0.15">
      <c r="A3" s="204" t="s">
        <v>826</v>
      </c>
      <c r="B3" s="205" t="s">
        <v>827</v>
      </c>
    </row>
    <row r="4" spans="1:2" ht="116.25" customHeight="1" x14ac:dyDescent="0.15">
      <c r="A4" s="206" t="s">
        <v>828</v>
      </c>
      <c r="B4" s="205" t="s">
        <v>831</v>
      </c>
    </row>
    <row r="5" spans="1:2" ht="102" x14ac:dyDescent="0.15">
      <c r="A5" s="206" t="s">
        <v>829</v>
      </c>
      <c r="B5" s="205" t="s">
        <v>830</v>
      </c>
    </row>
    <row r="6" spans="1:2" ht="51" x14ac:dyDescent="0.15">
      <c r="A6" s="238" t="s">
        <v>857</v>
      </c>
      <c r="B6" s="239" t="s">
        <v>876</v>
      </c>
    </row>
  </sheetData>
  <sheetProtection algorithmName="SHA-512" hashValue="sVkaCkXZKzJluyEI6wStK/5/W3gmiHTEhK4Qs9gFWrlZjQNJOedTZZuWWjk8qVLuoU3CjiZWpA+IJ+sZI5VqnA==" saltValue="B3bhomh/gnG5dXeTmTjcpQ==" spinCount="100000" sheet="1" objects="1" scenarios="1" selectLockedCells="1"/>
  <mergeCells count="1">
    <mergeCell ref="A1:B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&amp;Rver. 1.5(excel 2010）[H28]</oddHeader>
    <oddFooter>&amp;Cⓒ　2013 hyoukakyoukai.All right reserved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 x14ac:dyDescent="0.15">
      <c r="A1" s="492" t="s">
        <v>342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532" t="b">
        <f>IF(共通条件・結果!Z6="８地域","0.517",IF(共通条件・結果!Z6="７地域",0.479,IF(共通条件・結果!Z6="６地域",0.491,IF(共通条件・結果!Z6="５地域",0.52,IF(共通条件・結果!Z6="４地域",0.481,IF(共通条件・結果!Z6="３地域",0.55,IF(共通条件・結果!Z6="２地域",0.548,IF(共通条件・結果!Z6="１地域",0.526))))))))</f>
        <v>0</v>
      </c>
      <c r="V3" s="533"/>
      <c r="W3" s="532" t="b">
        <f>IF(共通条件・結果!Z6="８地域","-",IF(共通条件・結果!Z6="７地域",0.848,IF(共通条件・結果!Z6="６地域",0.763,IF(共通条件・結果!Z6="５地域",0.815,IF(共通条件・結果!Z6="４地域",0.723,IF(共通条件・結果!Z6="３地域",0.75,IF(共通条件・結果!Z6="２地域",0.753,IF(共通条件・結果!Z6="１地域",0.79))))))))</f>
        <v>0</v>
      </c>
      <c r="X3" s="533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491"/>
      <c r="C7" s="475"/>
      <c r="D7" s="476"/>
      <c r="E7" s="476"/>
      <c r="F7" s="477"/>
      <c r="G7" s="429"/>
      <c r="H7" s="430"/>
      <c r="I7" s="431"/>
      <c r="J7" s="432"/>
      <c r="K7" s="473"/>
      <c r="L7" s="47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 t="shared" ref="Y7:Y16" si="1"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IF(共通条件・結果!$Z$6="８（Ⅵ）",0.01*(16+19*(2*Q7+S7)/O7),0.01*(16+24*(2*Q7+S7)/O7))</f>
        <v>#DIV/0!</v>
      </c>
      <c r="AK7" s="2" t="e">
        <f>0.01*(5+20*(3*Q7+S7)/O7)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460"/>
      <c r="C8" s="485"/>
      <c r="D8" s="442"/>
      <c r="E8" s="442"/>
      <c r="F8" s="443"/>
      <c r="G8" s="486"/>
      <c r="H8" s="487"/>
      <c r="I8" s="486"/>
      <c r="J8" s="487"/>
      <c r="K8" s="446"/>
      <c r="L8" s="446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3">IF(C8="","",IF(ISERROR(AD8),#VALUE!,AD8))</f>
        <v/>
      </c>
      <c r="X8" s="354"/>
      <c r="Y8" s="354" t="str">
        <f t="shared" si="1"/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>IF(共通条件・結果!$Z$6="８（Ⅵ）",0.01*(16+19*(2*Q8+S8)/O8),0.01*(16+24*(2*Q8+S8)/O8))</f>
        <v>#DIV/0!</v>
      </c>
      <c r="AK8" s="2" t="e">
        <f t="shared" ref="AK8:AK16" si="6">0.01*(5+20*(3*Q8+S8)/O8)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0"/>
      <c r="BA8" s="80"/>
    </row>
    <row r="9" spans="1:53" s="2" customFormat="1" ht="34.5" customHeight="1" x14ac:dyDescent="0.15">
      <c r="A9" s="459"/>
      <c r="B9" s="460"/>
      <c r="C9" s="485"/>
      <c r="D9" s="442"/>
      <c r="E9" s="442"/>
      <c r="F9" s="443"/>
      <c r="G9" s="486"/>
      <c r="H9" s="487"/>
      <c r="I9" s="486"/>
      <c r="J9" s="487"/>
      <c r="K9" s="446"/>
      <c r="L9" s="446"/>
      <c r="M9" s="488"/>
      <c r="N9" s="489"/>
      <c r="O9" s="425"/>
      <c r="P9" s="426"/>
      <c r="Q9" s="427"/>
      <c r="R9" s="428"/>
      <c r="S9" s="425"/>
      <c r="T9" s="426"/>
      <c r="U9" s="354" t="str">
        <f t="shared" si="0"/>
        <v/>
      </c>
      <c r="V9" s="354"/>
      <c r="W9" s="354" t="str">
        <f t="shared" si="3"/>
        <v/>
      </c>
      <c r="X9" s="354"/>
      <c r="Y9" s="354" t="str">
        <f t="shared" si="1"/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>IF(共通条件・結果!$Z$6="８（Ⅵ）",0.01*(16+19*(2*Q9+S9)/O9),0.01*(16+24*(2*Q9+S9)/O9))</f>
        <v>#DIV/0!</v>
      </c>
      <c r="AK9" s="2" t="e">
        <f t="shared" si="6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0"/>
      <c r="BA9" s="80"/>
    </row>
    <row r="10" spans="1:53" s="2" customFormat="1" ht="34.5" customHeight="1" x14ac:dyDescent="0.15">
      <c r="A10" s="459"/>
      <c r="B10" s="460"/>
      <c r="C10" s="485"/>
      <c r="D10" s="442"/>
      <c r="E10" s="442"/>
      <c r="F10" s="443"/>
      <c r="G10" s="486"/>
      <c r="H10" s="487"/>
      <c r="I10" s="486"/>
      <c r="J10" s="487"/>
      <c r="K10" s="446"/>
      <c r="L10" s="446"/>
      <c r="M10" s="488"/>
      <c r="N10" s="489"/>
      <c r="O10" s="425"/>
      <c r="P10" s="426"/>
      <c r="Q10" s="427"/>
      <c r="R10" s="428"/>
      <c r="S10" s="425"/>
      <c r="T10" s="426"/>
      <c r="U10" s="354" t="str">
        <f t="shared" si="0"/>
        <v/>
      </c>
      <c r="V10" s="354"/>
      <c r="W10" s="354" t="str">
        <f t="shared" si="3"/>
        <v/>
      </c>
      <c r="X10" s="354"/>
      <c r="Y10" s="354" t="str">
        <f t="shared" si="1"/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>IF(共通条件・結果!$Z$6="８（Ⅵ）",0.01*(16+19*(2*Q10+S10)/O10),0.01*(16+24*(2*Q10+S10)/O10))</f>
        <v>#DIV/0!</v>
      </c>
      <c r="AK10" s="2" t="e">
        <f t="shared" si="6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0"/>
      <c r="BA10" s="80"/>
    </row>
    <row r="11" spans="1:53" s="2" customFormat="1" ht="34.5" customHeight="1" x14ac:dyDescent="0.15">
      <c r="A11" s="459"/>
      <c r="B11" s="460"/>
      <c r="C11" s="485"/>
      <c r="D11" s="442"/>
      <c r="E11" s="442"/>
      <c r="F11" s="443"/>
      <c r="G11" s="486"/>
      <c r="H11" s="487"/>
      <c r="I11" s="486"/>
      <c r="J11" s="487"/>
      <c r="K11" s="446"/>
      <c r="L11" s="446"/>
      <c r="M11" s="488"/>
      <c r="N11" s="489"/>
      <c r="O11" s="425"/>
      <c r="P11" s="426"/>
      <c r="Q11" s="427"/>
      <c r="R11" s="428"/>
      <c r="S11" s="425"/>
      <c r="T11" s="426"/>
      <c r="U11" s="354" t="str">
        <f t="shared" si="0"/>
        <v/>
      </c>
      <c r="V11" s="354"/>
      <c r="W11" s="354" t="str">
        <f t="shared" si="3"/>
        <v/>
      </c>
      <c r="X11" s="354"/>
      <c r="Y11" s="354" t="str">
        <f t="shared" si="1"/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>IF(共通条件・結果!$Z$6="８（Ⅵ）",0.01*(16+19*(2*Q11+S11)/O11),0.01*(16+24*(2*Q11+S11)/O11))</f>
        <v>#DIV/0!</v>
      </c>
      <c r="AK11" s="2" t="e">
        <f t="shared" si="6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0"/>
      <c r="BA11" s="80"/>
    </row>
    <row r="12" spans="1:53" s="2" customFormat="1" ht="34.5" customHeight="1" x14ac:dyDescent="0.15">
      <c r="A12" s="459"/>
      <c r="B12" s="460"/>
      <c r="C12" s="485"/>
      <c r="D12" s="442"/>
      <c r="E12" s="442"/>
      <c r="F12" s="443"/>
      <c r="G12" s="486"/>
      <c r="H12" s="487"/>
      <c r="I12" s="486"/>
      <c r="J12" s="487"/>
      <c r="K12" s="446"/>
      <c r="L12" s="446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3"/>
        <v/>
      </c>
      <c r="X12" s="354"/>
      <c r="Y12" s="354" t="str">
        <f t="shared" si="1"/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>IF(共通条件・結果!$Z$6="８（Ⅵ）",0.01*(16+19*(2*Q12+S12)/O12),0.01*(16+24*(2*Q12+S12)/O12))</f>
        <v>#DIV/0!</v>
      </c>
      <c r="AK12" s="2" t="e">
        <f t="shared" si="6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0"/>
      <c r="BA12" s="80"/>
    </row>
    <row r="13" spans="1:53" s="2" customFormat="1" ht="34.5" customHeight="1" x14ac:dyDescent="0.15">
      <c r="A13" s="459"/>
      <c r="B13" s="460"/>
      <c r="C13" s="485"/>
      <c r="D13" s="442"/>
      <c r="E13" s="442"/>
      <c r="F13" s="443"/>
      <c r="G13" s="486"/>
      <c r="H13" s="487"/>
      <c r="I13" s="486"/>
      <c r="J13" s="487"/>
      <c r="K13" s="446"/>
      <c r="L13" s="446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3"/>
        <v/>
      </c>
      <c r="X13" s="354"/>
      <c r="Y13" s="354" t="str">
        <f t="shared" si="1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>IF(共通条件・結果!$Z$6="８（Ⅵ）",0.01*(16+19*(2*Q13+S13)/O13),0.01*(16+24*(2*Q13+S13)/O13))</f>
        <v>#DIV/0!</v>
      </c>
      <c r="AK13" s="2" t="e">
        <f t="shared" si="6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0"/>
      <c r="BA13" s="80"/>
    </row>
    <row r="14" spans="1:53" s="2" customFormat="1" ht="34.5" customHeight="1" x14ac:dyDescent="0.15">
      <c r="A14" s="459"/>
      <c r="B14" s="460"/>
      <c r="C14" s="485"/>
      <c r="D14" s="442"/>
      <c r="E14" s="442"/>
      <c r="F14" s="443"/>
      <c r="G14" s="486"/>
      <c r="H14" s="487"/>
      <c r="I14" s="486"/>
      <c r="J14" s="487"/>
      <c r="K14" s="446"/>
      <c r="L14" s="446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3"/>
        <v/>
      </c>
      <c r="X14" s="354"/>
      <c r="Y14" s="354" t="str">
        <f t="shared" si="1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>IF(共通条件・結果!$Z$6="８（Ⅵ）",0.01*(16+19*(2*Q14+S14)/O14),0.01*(16+24*(2*Q14+S14)/O14))</f>
        <v>#DIV/0!</v>
      </c>
      <c r="AK14" s="2" t="e">
        <f t="shared" si="6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0"/>
      <c r="BA14" s="80"/>
    </row>
    <row r="15" spans="1:53" s="2" customFormat="1" ht="34.5" customHeight="1" x14ac:dyDescent="0.15">
      <c r="A15" s="459"/>
      <c r="B15" s="460"/>
      <c r="C15" s="485"/>
      <c r="D15" s="442"/>
      <c r="E15" s="442"/>
      <c r="F15" s="443"/>
      <c r="G15" s="486"/>
      <c r="H15" s="487"/>
      <c r="I15" s="486"/>
      <c r="J15" s="487"/>
      <c r="K15" s="446"/>
      <c r="L15" s="446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3"/>
        <v/>
      </c>
      <c r="X15" s="354"/>
      <c r="Y15" s="354" t="str">
        <f t="shared" si="1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>IF(共通条件・結果!$Z$6="８（Ⅵ）",0.01*(16+19*(2*Q15+S15)/O15),0.01*(16+24*(2*Q15+S15)/O15))</f>
        <v>#DIV/0!</v>
      </c>
      <c r="AK15" s="2" t="e">
        <f t="shared" si="6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0"/>
      <c r="BA15" s="80"/>
    </row>
    <row r="16" spans="1:53" s="2" customFormat="1" ht="34.5" customHeight="1" thickBot="1" x14ac:dyDescent="0.2">
      <c r="A16" s="468"/>
      <c r="B16" s="469"/>
      <c r="C16" s="392"/>
      <c r="D16" s="374"/>
      <c r="E16" s="374"/>
      <c r="F16" s="375"/>
      <c r="G16" s="471"/>
      <c r="H16" s="472"/>
      <c r="I16" s="471"/>
      <c r="J16" s="472"/>
      <c r="K16" s="473"/>
      <c r="L16" s="473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3"/>
        <v/>
      </c>
      <c r="X16" s="354"/>
      <c r="Y16" s="360" t="str">
        <f t="shared" si="1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>IF(共通条件・結果!$Z$6="８（Ⅵ）",0.01*(16+19*(2*Q16+S16)/O16),0.01*(16+24*(2*Q16+S16)/O16))</f>
        <v>#DIV/0!</v>
      </c>
      <c r="AK16" s="2" t="e">
        <f t="shared" si="6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0"/>
      <c r="BA16" s="80"/>
    </row>
    <row r="17" spans="1:53" s="2" customFormat="1" ht="21.95" customHeight="1" thickBot="1" x14ac:dyDescent="0.2">
      <c r="A17" s="453" t="s">
        <v>362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363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364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55" s="2" customFormat="1" ht="10.5" customHeight="1" x14ac:dyDescent="0.15"/>
    <row r="34" spans="1:55" s="2" customFormat="1" ht="21.95" customHeight="1" thickBot="1" x14ac:dyDescent="0.2">
      <c r="A34" s="4" t="s">
        <v>365</v>
      </c>
    </row>
    <row r="35" spans="1:55" s="2" customFormat="1" ht="21.95" customHeight="1" x14ac:dyDescent="0.15">
      <c r="A35" s="461" t="s">
        <v>335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55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55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55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55" s="2" customFormat="1" ht="21.95" customHeight="1" x14ac:dyDescent="0.15"/>
    <row r="40" spans="1:55" s="2" customFormat="1" ht="21.95" customHeight="1" x14ac:dyDescent="0.15"/>
    <row r="41" spans="1:55" s="2" customFormat="1" ht="21.95" customHeight="1" x14ac:dyDescent="0.15"/>
    <row r="42" spans="1:55" s="2" customFormat="1" ht="21.95" hidden="1" customHeight="1" x14ac:dyDescent="0.15">
      <c r="B42" s="114" t="s">
        <v>266</v>
      </c>
    </row>
    <row r="43" spans="1:55" s="2" customFormat="1" ht="21.95" hidden="1" customHeight="1" x14ac:dyDescent="0.15">
      <c r="AC43" s="54"/>
      <c r="AD43" s="54"/>
    </row>
    <row r="44" spans="1:55" s="2" customFormat="1" ht="21.75" hidden="1" customHeight="1" x14ac:dyDescent="0.15">
      <c r="B44" s="51" t="s">
        <v>109</v>
      </c>
      <c r="O44" s="351" t="s">
        <v>186</v>
      </c>
      <c r="P44" s="351"/>
      <c r="Q44" s="351"/>
      <c r="AC44" s="54"/>
      <c r="AD44" s="54"/>
    </row>
    <row r="45" spans="1:55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  <c r="AJ45" s="51" t="s">
        <v>838</v>
      </c>
      <c r="AN45" s="51" t="s">
        <v>839</v>
      </c>
      <c r="AR45" s="51" t="s">
        <v>840</v>
      </c>
      <c r="AV45" s="51" t="s">
        <v>841</v>
      </c>
      <c r="AZ45" s="51" t="s">
        <v>842</v>
      </c>
    </row>
    <row r="46" spans="1:55" s="2" customFormat="1" ht="21.75" hidden="1" customHeight="1" x14ac:dyDescent="0.15">
      <c r="A46" s="30"/>
      <c r="B46" s="223" t="s">
        <v>833</v>
      </c>
      <c r="C46" s="224" t="s">
        <v>156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  <c r="AN46" s="208" t="s">
        <v>833</v>
      </c>
      <c r="AO46" s="208" t="s">
        <v>834</v>
      </c>
      <c r="AP46" s="208" t="s">
        <v>835</v>
      </c>
      <c r="AQ46" s="208" t="s">
        <v>836</v>
      </c>
      <c r="AR46" s="208" t="s">
        <v>833</v>
      </c>
      <c r="AS46" s="208" t="s">
        <v>834</v>
      </c>
      <c r="AT46" s="208" t="s">
        <v>835</v>
      </c>
      <c r="AU46" s="208" t="s">
        <v>836</v>
      </c>
      <c r="AV46" s="208" t="s">
        <v>833</v>
      </c>
      <c r="AW46" s="208" t="s">
        <v>834</v>
      </c>
      <c r="AX46" s="208" t="s">
        <v>835</v>
      </c>
      <c r="AY46" s="208" t="s">
        <v>836</v>
      </c>
      <c r="AZ46" s="208" t="s">
        <v>833</v>
      </c>
      <c r="BA46" s="208" t="s">
        <v>834</v>
      </c>
      <c r="BB46" s="208" t="s">
        <v>835</v>
      </c>
      <c r="BC46" s="208" t="s">
        <v>836</v>
      </c>
    </row>
    <row r="47" spans="1:55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AZ47" s="209" t="s">
        <v>282</v>
      </c>
      <c r="BA47" s="210" t="s">
        <v>297</v>
      </c>
      <c r="BB47" s="211" t="s">
        <v>290</v>
      </c>
      <c r="BC47" s="212" t="s">
        <v>290</v>
      </c>
    </row>
    <row r="48" spans="1:55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AZ48" s="209" t="s">
        <v>283</v>
      </c>
      <c r="BA48" s="210" t="s">
        <v>298</v>
      </c>
      <c r="BB48" s="211" t="s">
        <v>291</v>
      </c>
      <c r="BC48" s="212" t="s">
        <v>291</v>
      </c>
    </row>
    <row r="49" spans="1:55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AZ49" s="209" t="s">
        <v>284</v>
      </c>
      <c r="BA49" s="210" t="s">
        <v>290</v>
      </c>
      <c r="BB49" s="211" t="s">
        <v>299</v>
      </c>
      <c r="BC49" s="212" t="s">
        <v>299</v>
      </c>
    </row>
    <row r="50" spans="1:55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AZ50" s="209" t="s">
        <v>285</v>
      </c>
      <c r="BA50" s="210" t="s">
        <v>291</v>
      </c>
      <c r="BB50" s="211" t="s">
        <v>300</v>
      </c>
      <c r="BC50" s="212" t="s">
        <v>300</v>
      </c>
    </row>
    <row r="51" spans="1:55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AZ51" s="209" t="s">
        <v>286</v>
      </c>
      <c r="BA51" s="210" t="s">
        <v>311</v>
      </c>
      <c r="BB51" s="211" t="s">
        <v>313</v>
      </c>
      <c r="BC51" s="212" t="s">
        <v>304</v>
      </c>
    </row>
    <row r="52" spans="1:55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AZ52" s="209" t="s">
        <v>287</v>
      </c>
      <c r="BA52" s="210" t="s">
        <v>312</v>
      </c>
      <c r="BB52" s="211" t="s">
        <v>314</v>
      </c>
      <c r="BC52" s="212" t="s">
        <v>305</v>
      </c>
    </row>
    <row r="53" spans="1:55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AZ53" s="209" t="s">
        <v>288</v>
      </c>
      <c r="BA53" s="210" t="s">
        <v>304</v>
      </c>
      <c r="BB53" s="211" t="s">
        <v>785</v>
      </c>
      <c r="BC53" s="212" t="s">
        <v>785</v>
      </c>
    </row>
    <row r="54" spans="1:55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AZ54" s="209" t="s">
        <v>289</v>
      </c>
      <c r="BA54" s="210" t="s">
        <v>305</v>
      </c>
      <c r="BB54" s="211" t="s">
        <v>786</v>
      </c>
      <c r="BC54" s="212" t="s">
        <v>786</v>
      </c>
    </row>
    <row r="55" spans="1:55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AZ55" s="209" t="s">
        <v>290</v>
      </c>
      <c r="BA55" s="210" t="s">
        <v>785</v>
      </c>
      <c r="BB55" s="211" t="s">
        <v>292</v>
      </c>
      <c r="BC55" s="212" t="s">
        <v>292</v>
      </c>
    </row>
    <row r="56" spans="1:55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AZ56" s="209" t="s">
        <v>291</v>
      </c>
      <c r="BA56" s="210" t="s">
        <v>786</v>
      </c>
      <c r="BB56" s="211" t="s">
        <v>293</v>
      </c>
      <c r="BC56" s="212" t="s">
        <v>293</v>
      </c>
    </row>
    <row r="57" spans="1:55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AZ57" s="209" t="s">
        <v>302</v>
      </c>
      <c r="BA57" s="210" t="s">
        <v>292</v>
      </c>
      <c r="BB57" s="211" t="s">
        <v>294</v>
      </c>
      <c r="BC57" s="212" t="s">
        <v>294</v>
      </c>
    </row>
    <row r="58" spans="1:55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AZ58" s="209" t="s">
        <v>303</v>
      </c>
      <c r="BA58" s="210" t="s">
        <v>293</v>
      </c>
      <c r="BB58" s="211" t="s">
        <v>295</v>
      </c>
      <c r="BC58" s="212" t="s">
        <v>295</v>
      </c>
    </row>
    <row r="59" spans="1:55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AZ59" s="209" t="s">
        <v>292</v>
      </c>
      <c r="BA59" s="210" t="s">
        <v>294</v>
      </c>
      <c r="BB59" s="211" t="s">
        <v>296</v>
      </c>
      <c r="BC59" s="212" t="s">
        <v>296</v>
      </c>
    </row>
    <row r="60" spans="1:55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AZ60" s="209" t="s">
        <v>293</v>
      </c>
      <c r="BA60" s="210" t="s">
        <v>295</v>
      </c>
      <c r="BB60" s="211" t="s">
        <v>306</v>
      </c>
      <c r="BC60" s="212" t="s">
        <v>315</v>
      </c>
    </row>
    <row r="61" spans="1:55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AZ61" s="209" t="s">
        <v>294</v>
      </c>
      <c r="BA61" s="210" t="s">
        <v>296</v>
      </c>
      <c r="BB61" s="211" t="s">
        <v>307</v>
      </c>
      <c r="BC61" s="212" t="s">
        <v>316</v>
      </c>
    </row>
    <row r="62" spans="1:55" s="2" customFormat="1" ht="21.75" hidden="1" customHeight="1" x14ac:dyDescent="0.15">
      <c r="A62" s="30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AZ62" s="209" t="s">
        <v>295</v>
      </c>
      <c r="BA62" s="210" t="s">
        <v>306</v>
      </c>
      <c r="BB62" s="211" t="s">
        <v>308</v>
      </c>
      <c r="BC62" s="212" t="s">
        <v>317</v>
      </c>
    </row>
    <row r="63" spans="1:55" s="2" customFormat="1" ht="21.75" hidden="1" customHeight="1" x14ac:dyDescent="0.15">
      <c r="A63" s="56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AZ63" s="209" t="s">
        <v>296</v>
      </c>
      <c r="BA63" s="210" t="s">
        <v>307</v>
      </c>
      <c r="BB63" s="211" t="s">
        <v>309</v>
      </c>
      <c r="BC63" s="212" t="s">
        <v>318</v>
      </c>
    </row>
    <row r="64" spans="1:55" s="2" customFormat="1" ht="21.75" hidden="1" customHeight="1" x14ac:dyDescent="0.15">
      <c r="A64" s="30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AZ64" s="209" t="s">
        <v>304</v>
      </c>
      <c r="BA64" s="210" t="s">
        <v>308</v>
      </c>
      <c r="BB64" s="211" t="s">
        <v>310</v>
      </c>
      <c r="BC64" s="212" t="s">
        <v>319</v>
      </c>
    </row>
    <row r="65" spans="1:55" s="2" customFormat="1" ht="21.75" hidden="1" customHeight="1" x14ac:dyDescent="0.15">
      <c r="A65" s="56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AZ65" s="209" t="s">
        <v>305</v>
      </c>
      <c r="BA65" s="210" t="s">
        <v>309</v>
      </c>
      <c r="BB65" s="213"/>
      <c r="BC65" s="212" t="s">
        <v>301</v>
      </c>
    </row>
    <row r="66" spans="1:55" s="2" customFormat="1" ht="21.75" hidden="1" customHeight="1" x14ac:dyDescent="0.15">
      <c r="A66" s="30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AZ66" s="209" t="s">
        <v>785</v>
      </c>
      <c r="BA66" s="210" t="s">
        <v>310</v>
      </c>
      <c r="BB66" s="213"/>
      <c r="BC66" s="212" t="s">
        <v>320</v>
      </c>
    </row>
    <row r="67" spans="1:55" s="2" customFormat="1" ht="21.75" hidden="1" customHeight="1" x14ac:dyDescent="0.15">
      <c r="A67" s="56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AZ67" s="209" t="s">
        <v>786</v>
      </c>
      <c r="BA67" s="214"/>
      <c r="BB67" s="213"/>
      <c r="BC67" s="212" t="s">
        <v>321</v>
      </c>
    </row>
    <row r="68" spans="1:55" s="3" customFormat="1" ht="21.75" hidden="1" customHeight="1" x14ac:dyDescent="0.15">
      <c r="A68" s="30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AZ68" s="209" t="s">
        <v>306</v>
      </c>
      <c r="BA68" s="214"/>
      <c r="BB68" s="213"/>
      <c r="BC68" s="212" t="s">
        <v>278</v>
      </c>
    </row>
    <row r="69" spans="1:55" s="3" customFormat="1" ht="21.75" hidden="1" customHeight="1" x14ac:dyDescent="0.15">
      <c r="A69" s="56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AZ69" s="209" t="s">
        <v>307</v>
      </c>
      <c r="BA69" s="214"/>
      <c r="BB69" s="215"/>
      <c r="BC69" s="212" t="s">
        <v>279</v>
      </c>
    </row>
    <row r="70" spans="1:55" ht="21.75" hidden="1" customHeight="1" x14ac:dyDescent="0.15">
      <c r="A70" s="30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AZ70" s="209" t="s">
        <v>308</v>
      </c>
      <c r="BA70" s="214"/>
      <c r="BB70" s="215"/>
      <c r="BC70" s="212" t="s">
        <v>280</v>
      </c>
    </row>
    <row r="71" spans="1:55" ht="21.75" hidden="1" customHeight="1" x14ac:dyDescent="0.15">
      <c r="A71" s="56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AZ71" s="209" t="s">
        <v>309</v>
      </c>
      <c r="BA71" s="214"/>
      <c r="BB71" s="215"/>
      <c r="BC71" s="212" t="s">
        <v>322</v>
      </c>
    </row>
    <row r="72" spans="1:55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107">
        <v>0.63</v>
      </c>
      <c r="P72" s="107">
        <v>0.27</v>
      </c>
      <c r="Q72" s="107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AZ72" s="209" t="s">
        <v>310</v>
      </c>
      <c r="BA72" s="215"/>
      <c r="BB72" s="215"/>
      <c r="BC72" s="215"/>
    </row>
    <row r="73" spans="1:55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AZ73" s="209" t="s">
        <v>277</v>
      </c>
      <c r="BA73" s="216"/>
      <c r="BB73" s="216"/>
      <c r="BC73" s="216"/>
    </row>
    <row r="74" spans="1:55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AZ74" s="209" t="s">
        <v>278</v>
      </c>
      <c r="BA74" s="215"/>
      <c r="BB74" s="215"/>
      <c r="BC74" s="215"/>
    </row>
    <row r="75" spans="1:55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AZ75" s="209" t="s">
        <v>279</v>
      </c>
      <c r="BA75" s="215"/>
      <c r="BB75" s="215"/>
      <c r="BC75" s="215"/>
    </row>
    <row r="76" spans="1:55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AZ76" s="209" t="s">
        <v>280</v>
      </c>
      <c r="BA76" s="215"/>
      <c r="BB76" s="215"/>
      <c r="BC76" s="215"/>
    </row>
    <row r="77" spans="1:55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AZ77" s="209" t="s">
        <v>281</v>
      </c>
      <c r="BA77" s="215"/>
      <c r="BB77" s="215"/>
      <c r="BC77" s="215"/>
    </row>
    <row r="78" spans="1:55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55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55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111">
        <f t="shared" ref="T146:AC146" si="7">SUM(T142:T145)</f>
        <v>0</v>
      </c>
      <c r="U146" s="111">
        <f t="shared" si="7"/>
        <v>0</v>
      </c>
      <c r="V146" s="111">
        <f t="shared" si="7"/>
        <v>0</v>
      </c>
      <c r="W146" s="111">
        <f t="shared" si="7"/>
        <v>0</v>
      </c>
      <c r="X146" s="111">
        <f t="shared" si="7"/>
        <v>0</v>
      </c>
      <c r="Y146" s="111">
        <f t="shared" si="7"/>
        <v>0</v>
      </c>
      <c r="Z146" s="111">
        <f t="shared" si="7"/>
        <v>0</v>
      </c>
      <c r="AA146" s="111">
        <f t="shared" si="7"/>
        <v>0</v>
      </c>
      <c r="AB146" s="111">
        <f t="shared" si="7"/>
        <v>0</v>
      </c>
      <c r="AC146" s="111">
        <f t="shared" si="7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111">
        <f>SUM(T148:T151)</f>
        <v>0</v>
      </c>
      <c r="U152" s="111">
        <f t="shared" ref="U152:AC152" si="8">SUM(U148:U151)</f>
        <v>0</v>
      </c>
      <c r="V152" s="111">
        <f t="shared" si="8"/>
        <v>0</v>
      </c>
      <c r="W152" s="111">
        <f t="shared" si="8"/>
        <v>0</v>
      </c>
      <c r="X152" s="111">
        <f t="shared" si="8"/>
        <v>0</v>
      </c>
      <c r="Y152" s="111">
        <f t="shared" si="8"/>
        <v>0</v>
      </c>
      <c r="Z152" s="111">
        <f t="shared" si="8"/>
        <v>0</v>
      </c>
      <c r="AA152" s="111">
        <f t="shared" si="8"/>
        <v>0</v>
      </c>
      <c r="AB152" s="111">
        <f t="shared" si="8"/>
        <v>0</v>
      </c>
      <c r="AC152" s="111">
        <f t="shared" si="8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267</v>
      </c>
      <c r="AO157" t="s">
        <v>810</v>
      </c>
    </row>
    <row r="158" spans="20:41" ht="24" hidden="1" customHeight="1" x14ac:dyDescent="0.15">
      <c r="T158" s="111">
        <f>SUM(T154:T157)</f>
        <v>0</v>
      </c>
      <c r="U158" s="111">
        <f t="shared" ref="U158:AC158" si="9">SUM(U154:U157)</f>
        <v>0</v>
      </c>
      <c r="V158" s="111">
        <f t="shared" si="9"/>
        <v>0</v>
      </c>
      <c r="W158" s="111">
        <f t="shared" si="9"/>
        <v>0</v>
      </c>
      <c r="X158" s="111">
        <f t="shared" si="9"/>
        <v>0</v>
      </c>
      <c r="Y158" s="111">
        <f t="shared" si="9"/>
        <v>0</v>
      </c>
      <c r="Z158" s="111">
        <f t="shared" si="9"/>
        <v>0</v>
      </c>
      <c r="AA158" s="111">
        <f t="shared" si="9"/>
        <v>0</v>
      </c>
      <c r="AB158" s="111">
        <f t="shared" si="9"/>
        <v>0</v>
      </c>
      <c r="AC158" s="111">
        <f t="shared" si="9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111">
        <f t="shared" ref="T164:AC164" si="10">SUM(T160:T163)</f>
        <v>0</v>
      </c>
      <c r="U164" s="111">
        <f t="shared" si="10"/>
        <v>0</v>
      </c>
      <c r="V164" s="111">
        <f t="shared" si="10"/>
        <v>0</v>
      </c>
      <c r="W164" s="111">
        <f t="shared" si="10"/>
        <v>0</v>
      </c>
      <c r="X164" s="111">
        <f t="shared" si="10"/>
        <v>0</v>
      </c>
      <c r="Y164" s="111">
        <f t="shared" si="10"/>
        <v>0</v>
      </c>
      <c r="Z164" s="111">
        <f t="shared" si="10"/>
        <v>0</v>
      </c>
      <c r="AA164" s="111">
        <f t="shared" si="10"/>
        <v>0</v>
      </c>
      <c r="AB164" s="111">
        <f t="shared" si="10"/>
        <v>0</v>
      </c>
      <c r="AC164" s="111">
        <f t="shared" si="10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73">
        <f>IF($K7="障子",T158,IF($K7="外付けブラインド",T164,T152))</f>
        <v>0</v>
      </c>
      <c r="U166" s="73">
        <f>IF($K8="障子",U158,IF($K8="外付けブラインド",U164,U152))</f>
        <v>0</v>
      </c>
      <c r="V166" s="73">
        <f>IF($K9="障子",V158,IF($K9="外付けブラインド",V164,V152))</f>
        <v>0</v>
      </c>
      <c r="W166" s="73">
        <f>IF($K10="障子",W158,IF($K10="外付けブラインド",W164,W152))</f>
        <v>0</v>
      </c>
      <c r="X166" s="73">
        <f>IF($K11="障子",X158,IF($K11="外付けブラインド",X164,X152))</f>
        <v>0</v>
      </c>
      <c r="Y166" s="73">
        <f>IF($K12="障子",Y158,IF($K12="外付けブラインド",Y164,Y152))</f>
        <v>0</v>
      </c>
      <c r="Z166" s="73">
        <f>IF($K13="障子",Z158,IF($K13="外付けブラインド",Z164,Z152))</f>
        <v>0</v>
      </c>
      <c r="AA166" s="73">
        <f>IF($K14="障子",AA158,IF($K14="外付けブラインド",AA164,AA152))</f>
        <v>0</v>
      </c>
      <c r="AB166" s="73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51" t="s">
        <v>846</v>
      </c>
      <c r="H172" t="s">
        <v>7</v>
      </c>
      <c r="J172" s="51" t="s">
        <v>847</v>
      </c>
      <c r="K172" s="51" t="s">
        <v>848</v>
      </c>
      <c r="L172" s="51" t="s">
        <v>849</v>
      </c>
      <c r="M172" s="51" t="s">
        <v>853</v>
      </c>
      <c r="N172" s="245" t="s">
        <v>850</v>
      </c>
      <c r="O172" s="51" t="s">
        <v>851</v>
      </c>
      <c r="P172" s="51" t="s">
        <v>852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N173" s="80" t="s">
        <v>787</v>
      </c>
      <c r="Q173" s="118"/>
      <c r="AB173" s="116"/>
      <c r="AC173" s="58"/>
      <c r="AD173" s="75"/>
      <c r="AE173" s="75"/>
      <c r="AF173" s="75"/>
      <c r="AG173" s="75"/>
      <c r="AH173" s="75"/>
      <c r="AI173" s="75"/>
      <c r="AJ173" s="75"/>
      <c r="AK173" s="75"/>
      <c r="AL173" s="75"/>
    </row>
    <row r="174" spans="2:41" ht="24" hidden="1" customHeight="1" x14ac:dyDescent="0.15">
      <c r="B174" s="80" t="s">
        <v>788</v>
      </c>
      <c r="C174" s="115">
        <v>2.33</v>
      </c>
      <c r="G174" t="s">
        <v>330</v>
      </c>
      <c r="H174" s="111" t="e">
        <f>VLOOKUP(O23,$B$173:$C$187,2,0)</f>
        <v>#N/A</v>
      </c>
      <c r="N174" s="80" t="s">
        <v>788</v>
      </c>
      <c r="Q174" s="118"/>
      <c r="AB174" s="116"/>
      <c r="AC174" s="58"/>
      <c r="AD174" s="75"/>
      <c r="AE174" s="75"/>
      <c r="AF174" s="75"/>
      <c r="AG174" s="75"/>
      <c r="AH174" s="75"/>
      <c r="AI174" s="75"/>
      <c r="AJ174" s="75"/>
      <c r="AK174" s="75"/>
      <c r="AL174" s="75"/>
    </row>
    <row r="175" spans="2:41" ht="24" hidden="1" customHeight="1" x14ac:dyDescent="0.15">
      <c r="B175" s="80" t="s">
        <v>794</v>
      </c>
      <c r="C175" s="115">
        <v>2.91</v>
      </c>
      <c r="N175" s="80" t="s">
        <v>794</v>
      </c>
      <c r="AB175" s="116"/>
      <c r="AC175" s="58"/>
      <c r="AD175" s="75"/>
      <c r="AE175" s="75"/>
      <c r="AF175" s="75"/>
      <c r="AG175" s="75"/>
      <c r="AH175" s="75"/>
      <c r="AI175" s="75"/>
      <c r="AJ175" s="75"/>
      <c r="AK175" s="75"/>
      <c r="AL175" s="75"/>
    </row>
    <row r="176" spans="2:41" ht="24" hidden="1" customHeight="1" x14ac:dyDescent="0.15">
      <c r="B176" s="80" t="s">
        <v>789</v>
      </c>
      <c r="C176" s="115">
        <v>2.91</v>
      </c>
      <c r="N176" s="80" t="s">
        <v>789</v>
      </c>
      <c r="AB176" s="116"/>
      <c r="AC176" s="58"/>
      <c r="AD176" s="75"/>
      <c r="AE176" s="75"/>
      <c r="AF176" s="75"/>
      <c r="AG176" s="75"/>
      <c r="AH176" s="75"/>
      <c r="AI176" s="75"/>
      <c r="AJ176" s="75"/>
      <c r="AK176" s="75"/>
      <c r="AL176" s="75"/>
    </row>
    <row r="177" spans="2:38" ht="24" hidden="1" customHeight="1" x14ac:dyDescent="0.15">
      <c r="B177" s="80" t="s">
        <v>791</v>
      </c>
      <c r="C177" s="115">
        <v>2.33</v>
      </c>
      <c r="N177" s="80" t="s">
        <v>791</v>
      </c>
      <c r="AB177" s="78"/>
      <c r="AC177" s="58"/>
      <c r="AD177" s="75"/>
      <c r="AE177" s="75"/>
      <c r="AF177" s="75"/>
      <c r="AG177" s="75"/>
      <c r="AH177" s="75"/>
      <c r="AI177" s="75"/>
      <c r="AJ177" s="75"/>
      <c r="AK177" s="75"/>
      <c r="AL177" s="75"/>
    </row>
    <row r="178" spans="2:38" ht="24" hidden="1" customHeight="1" x14ac:dyDescent="0.15">
      <c r="B178" s="80" t="s">
        <v>795</v>
      </c>
      <c r="C178" s="115">
        <v>1.75</v>
      </c>
      <c r="N178" s="80" t="s">
        <v>795</v>
      </c>
      <c r="AB178" s="78"/>
      <c r="AC178" s="58"/>
      <c r="AD178" s="75"/>
      <c r="AE178" s="75"/>
      <c r="AF178" s="75"/>
      <c r="AG178" s="75"/>
      <c r="AH178" s="75"/>
      <c r="AI178" s="75"/>
      <c r="AJ178" s="75"/>
      <c r="AK178" s="75"/>
      <c r="AL178" s="75"/>
    </row>
    <row r="179" spans="2:38" ht="24" hidden="1" customHeight="1" x14ac:dyDescent="0.15">
      <c r="B179" s="80" t="s">
        <v>796</v>
      </c>
      <c r="C179" s="115">
        <v>2.33</v>
      </c>
      <c r="N179" s="80" t="s">
        <v>796</v>
      </c>
      <c r="AB179" s="78"/>
      <c r="AC179" s="58"/>
      <c r="AD179" s="75"/>
      <c r="AE179" s="75"/>
      <c r="AF179" s="75"/>
      <c r="AG179" s="75"/>
      <c r="AH179" s="75"/>
      <c r="AI179" s="75"/>
      <c r="AJ179" s="75"/>
      <c r="AK179" s="75"/>
      <c r="AL179" s="75"/>
    </row>
    <row r="180" spans="2:38" ht="24" hidden="1" customHeight="1" x14ac:dyDescent="0.15">
      <c r="B180" s="80" t="s">
        <v>797</v>
      </c>
      <c r="C180" s="115">
        <v>2.91</v>
      </c>
      <c r="N180" s="80" t="s">
        <v>797</v>
      </c>
      <c r="AB180" s="78"/>
      <c r="AC180" s="58"/>
      <c r="AD180" s="75"/>
      <c r="AE180" s="75"/>
      <c r="AF180" s="75"/>
      <c r="AG180" s="75"/>
      <c r="AH180" s="75"/>
      <c r="AI180" s="75"/>
      <c r="AJ180" s="75"/>
      <c r="AK180" s="75"/>
      <c r="AL180" s="75"/>
    </row>
    <row r="181" spans="2:38" ht="24" hidden="1" customHeight="1" x14ac:dyDescent="0.15">
      <c r="B181" s="80" t="s">
        <v>798</v>
      </c>
      <c r="C181" s="115">
        <v>2.91</v>
      </c>
      <c r="N181" s="80" t="s">
        <v>798</v>
      </c>
      <c r="AB181" s="78"/>
      <c r="AC181" s="76"/>
      <c r="AD181" s="75"/>
      <c r="AE181" s="75"/>
      <c r="AF181" s="75"/>
      <c r="AG181" s="75"/>
      <c r="AH181" s="75"/>
      <c r="AI181" s="75"/>
      <c r="AJ181" s="75"/>
      <c r="AK181" s="75"/>
      <c r="AL181" s="75"/>
    </row>
    <row r="182" spans="2:38" ht="24" hidden="1" customHeight="1" x14ac:dyDescent="0.15">
      <c r="B182" s="80" t="s">
        <v>799</v>
      </c>
      <c r="C182" s="115">
        <v>2.33</v>
      </c>
      <c r="N182" s="80" t="s">
        <v>799</v>
      </c>
      <c r="AB182" s="78"/>
      <c r="AC182" s="58"/>
      <c r="AD182" s="75"/>
      <c r="AE182" s="75"/>
      <c r="AF182" s="75"/>
      <c r="AG182" s="75"/>
      <c r="AH182" s="75"/>
      <c r="AI182" s="75"/>
      <c r="AJ182" s="75"/>
      <c r="AK182" s="75"/>
      <c r="AL182" s="75"/>
    </row>
    <row r="183" spans="2:38" ht="24" hidden="1" customHeight="1" x14ac:dyDescent="0.15">
      <c r="B183" s="80" t="s">
        <v>801</v>
      </c>
      <c r="C183" s="115">
        <v>3.49</v>
      </c>
      <c r="N183" s="80" t="s">
        <v>801</v>
      </c>
      <c r="AB183" s="78"/>
      <c r="AC183" s="58"/>
      <c r="AD183" s="75"/>
      <c r="AE183" s="75"/>
      <c r="AF183" s="75"/>
      <c r="AG183" s="75"/>
      <c r="AH183" s="75"/>
      <c r="AI183" s="75"/>
      <c r="AJ183" s="75"/>
      <c r="AK183" s="75"/>
      <c r="AL183" s="75"/>
    </row>
    <row r="184" spans="2:38" ht="24" hidden="1" customHeight="1" x14ac:dyDescent="0.15">
      <c r="B184" s="80" t="s">
        <v>803</v>
      </c>
      <c r="C184" s="115">
        <v>3.49</v>
      </c>
      <c r="N184" s="80" t="s">
        <v>803</v>
      </c>
    </row>
    <row r="185" spans="2:38" ht="24" hidden="1" customHeight="1" x14ac:dyDescent="0.15">
      <c r="B185" s="80" t="s">
        <v>805</v>
      </c>
      <c r="C185" s="115">
        <v>4.6500000000000004</v>
      </c>
      <c r="N185" s="80" t="s">
        <v>805</v>
      </c>
    </row>
    <row r="186" spans="2:38" ht="24" hidden="1" customHeight="1" x14ac:dyDescent="0.15">
      <c r="B186" s="80" t="s">
        <v>806</v>
      </c>
      <c r="C186" s="115">
        <v>4.07</v>
      </c>
      <c r="N186" s="80" t="s">
        <v>806</v>
      </c>
    </row>
    <row r="187" spans="2:38" ht="24" hidden="1" customHeight="1" x14ac:dyDescent="0.15">
      <c r="B187" s="80" t="s">
        <v>808</v>
      </c>
      <c r="C187" s="115">
        <v>4.6500000000000004</v>
      </c>
      <c r="N187" s="80" t="s">
        <v>808</v>
      </c>
    </row>
  </sheetData>
  <sheetProtection algorithmName="SHA-512" hashValue="pHURJTwckVkQcgrSeTgRnipORXa/wdkHuwmSN07e/EIwrHVwZ4V46QkVbhxx64kjP1k48r6Nh5lojc7PtTLL8A==" saltValue="TFh4Co+YwuFUw8WnshWbSw==" spinCount="100000" sheet="1" objects="1" scenarios="1" selectLockedCells="1"/>
  <mergeCells count="242"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</mergeCells>
  <phoneticPr fontId="2"/>
  <conditionalFormatting sqref="U17:V17">
    <cfRule type="expression" dxfId="65" priority="18" stopIfTrue="1">
      <formula>$U$17=0</formula>
    </cfRule>
  </conditionalFormatting>
  <conditionalFormatting sqref="W17:X17">
    <cfRule type="expression" dxfId="64" priority="17" stopIfTrue="1">
      <formula>$W$17=0</formula>
    </cfRule>
  </conditionalFormatting>
  <conditionalFormatting sqref="Y17:Z17">
    <cfRule type="expression" dxfId="63" priority="16" stopIfTrue="1">
      <formula>$Y$17=0</formula>
    </cfRule>
  </conditionalFormatting>
  <conditionalFormatting sqref="U24:Z24">
    <cfRule type="expression" dxfId="62" priority="15" stopIfTrue="1">
      <formula>$U$24:$Z$24=0</formula>
    </cfRule>
  </conditionalFormatting>
  <conditionalFormatting sqref="U32:V32">
    <cfRule type="expression" dxfId="61" priority="14" stopIfTrue="1">
      <formula>$U$32:$V$32=0</formula>
    </cfRule>
  </conditionalFormatting>
  <conditionalFormatting sqref="X35:Y35">
    <cfRule type="expression" dxfId="60" priority="13" stopIfTrue="1">
      <formula>$X$35=0</formula>
    </cfRule>
  </conditionalFormatting>
  <conditionalFormatting sqref="P35:Q35">
    <cfRule type="expression" dxfId="59" priority="12" stopIfTrue="1">
      <formula>$P$35=0</formula>
    </cfRule>
  </conditionalFormatting>
  <conditionalFormatting sqref="T35:U35">
    <cfRule type="expression" dxfId="58" priority="11" stopIfTrue="1">
      <formula>$T$35=0</formula>
    </cfRule>
  </conditionalFormatting>
  <conditionalFormatting sqref="K35:M35">
    <cfRule type="expression" dxfId="57" priority="10" stopIfTrue="1">
      <formula>$K$35=0</formula>
    </cfRule>
  </conditionalFormatting>
  <conditionalFormatting sqref="W7:X7">
    <cfRule type="expression" dxfId="56" priority="8" stopIfTrue="1">
      <formula>#VALUE!</formula>
    </cfRule>
    <cfRule type="expression" dxfId="55" priority="9" stopIfTrue="1">
      <formula>#VALUE!</formula>
    </cfRule>
  </conditionalFormatting>
  <conditionalFormatting sqref="W16:X16">
    <cfRule type="expression" dxfId="54" priority="7" stopIfTrue="1">
      <formula>#VALUE!</formula>
    </cfRule>
  </conditionalFormatting>
  <conditionalFormatting sqref="O7:T16">
    <cfRule type="expression" dxfId="53" priority="6" stopIfTrue="1">
      <formula>$AF7=TRUE</formula>
    </cfRule>
  </conditionalFormatting>
  <conditionalFormatting sqref="W7:X7">
    <cfRule type="expression" dxfId="52" priority="4" stopIfTrue="1">
      <formula>#VALUE!</formula>
    </cfRule>
    <cfRule type="expression" dxfId="51" priority="5" stopIfTrue="1">
      <formula>#VALUE!</formula>
    </cfRule>
  </conditionalFormatting>
  <conditionalFormatting sqref="W16:X16">
    <cfRule type="expression" dxfId="50" priority="3" stopIfTrue="1">
      <formula>#VALUE!</formula>
    </cfRule>
  </conditionalFormatting>
  <conditionalFormatting sqref="W32:X32">
    <cfRule type="expression" dxfId="49" priority="2" stopIfTrue="1">
      <formula>$W$32:$X$32=0</formula>
    </cfRule>
  </conditionalFormatting>
  <conditionalFormatting sqref="Y32:Z32">
    <cfRule type="expression" dxfId="48" priority="1" stopIfTrue="1">
      <formula>$Y$32:$Z$32=0</formula>
    </cfRule>
  </conditionalFormatting>
  <dataValidations disablePrompts="1" count="6">
    <dataValidation type="list" allowBlank="1" showInputMessage="1" showErrorMessage="1" sqref="S22:T23" xr:uid="{00000000-0002-0000-0900-000000000000}">
      <formula1>"あり,なし"</formula1>
    </dataValidation>
    <dataValidation type="list" allowBlank="1" showInputMessage="1" showErrorMessage="1" sqref="K7:L16" xr:uid="{00000000-0002-0000-0900-000001000000}">
      <formula1>"　,雨戸,ｼｬｯﾀｰ,障子,風除室,外付けブラインド"</formula1>
    </dataValidation>
    <dataValidation type="list" allowBlank="1" showInputMessage="1" showErrorMessage="1" sqref="I29:I31" xr:uid="{00000000-0002-0000-0900-000002000000}">
      <formula1>"W-1,W-2,W-3"</formula1>
    </dataValidation>
    <dataValidation type="list" allowBlank="1" showInputMessage="1" showErrorMessage="1" sqref="G7:H16" xr:uid="{00000000-0002-0000-0900-000003000000}">
      <formula1>建具の仕様_南西</formula1>
    </dataValidation>
    <dataValidation type="list" allowBlank="1" showInputMessage="1" showErrorMessage="1" sqref="I7:J16" xr:uid="{00000000-0002-0000-0900-000004000000}">
      <formula1>INDIRECT(G7)</formula1>
    </dataValidation>
    <dataValidation type="list" allowBlank="1" showInputMessage="1" showErrorMessage="1" sqref="O22:R23" xr:uid="{00000000-0002-0000-0900-000005000000}">
      <formula1>建具の構成_南西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1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2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3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4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5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6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7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8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24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25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26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G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 x14ac:dyDescent="0.15">
      <c r="A1" s="492" t="s">
        <v>343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494" t="b">
        <f>IF(共通条件・結果!Z6="８地域","0.505",IF(共通条件・結果!Z6="７地域",0.495,IF(共通条件・結果!Z6="６地域",0.504,IF(共通条件・結果!Z6="５地域",0.518,IF(共通条件・結果!Z6="４地域",0.481,IF(共通条件・結果!Z6="３地域",0.553,IF(共通条件・結果!Z6="２地域",0.529,IF(共通条件・結果!Z6="１地域",0.508))))))))</f>
        <v>0</v>
      </c>
      <c r="V3" s="495"/>
      <c r="W3" s="494" t="b">
        <f>IF(共通条件・結果!Z6="８地域","-",IF(共通条件・結果!Z6="７地域",0.548,IF(共通条件・結果!Z6="６地域",0.523,IF(共通条件・結果!Z6="５地域",0.538,IF(共通条件・結果!Z6="４地域",0.527,IF(共通条件・結果!Z6="３地域",0.542,IF(共通条件・結果!Z6="２地域",0.544,IF(共通条件・結果!Z6="１地域",0.535))))))))</f>
        <v>0</v>
      </c>
      <c r="X3" s="495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491"/>
      <c r="C7" s="475"/>
      <c r="D7" s="476"/>
      <c r="E7" s="476"/>
      <c r="F7" s="477"/>
      <c r="G7" s="429"/>
      <c r="H7" s="430"/>
      <c r="I7" s="431"/>
      <c r="J7" s="432"/>
      <c r="K7" s="473"/>
      <c r="L7" s="47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 t="shared" ref="Y7:Y16" si="1"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460"/>
      <c r="C8" s="485"/>
      <c r="D8" s="442"/>
      <c r="E8" s="442"/>
      <c r="F8" s="443"/>
      <c r="G8" s="486"/>
      <c r="H8" s="487"/>
      <c r="I8" s="486"/>
      <c r="J8" s="487"/>
      <c r="K8" s="446"/>
      <c r="L8" s="446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3">IF(C8="","",IF(ISERROR(AD8),#VALUE!,AD8))</f>
        <v/>
      </c>
      <c r="X8" s="354"/>
      <c r="Y8" s="354" t="str">
        <f t="shared" si="1"/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0"/>
      <c r="BA8" s="80"/>
    </row>
    <row r="9" spans="1:53" s="2" customFormat="1" ht="34.5" customHeight="1" x14ac:dyDescent="0.15">
      <c r="A9" s="459"/>
      <c r="B9" s="460"/>
      <c r="C9" s="485"/>
      <c r="D9" s="442"/>
      <c r="E9" s="442"/>
      <c r="F9" s="443"/>
      <c r="G9" s="486"/>
      <c r="H9" s="487"/>
      <c r="I9" s="486"/>
      <c r="J9" s="487"/>
      <c r="K9" s="446"/>
      <c r="L9" s="446"/>
      <c r="M9" s="488"/>
      <c r="N9" s="489"/>
      <c r="O9" s="425"/>
      <c r="P9" s="426"/>
      <c r="Q9" s="427"/>
      <c r="R9" s="428"/>
      <c r="S9" s="425"/>
      <c r="T9" s="426"/>
      <c r="U9" s="354" t="str">
        <f t="shared" si="0"/>
        <v/>
      </c>
      <c r="V9" s="354"/>
      <c r="W9" s="354" t="str">
        <f t="shared" si="3"/>
        <v/>
      </c>
      <c r="X9" s="354"/>
      <c r="Y9" s="354" t="str">
        <f t="shared" si="1"/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0"/>
      <c r="BA9" s="80"/>
    </row>
    <row r="10" spans="1:53" s="2" customFormat="1" ht="34.5" customHeight="1" x14ac:dyDescent="0.15">
      <c r="A10" s="459"/>
      <c r="B10" s="460"/>
      <c r="C10" s="485"/>
      <c r="D10" s="442"/>
      <c r="E10" s="442"/>
      <c r="F10" s="443"/>
      <c r="G10" s="486"/>
      <c r="H10" s="487"/>
      <c r="I10" s="486"/>
      <c r="J10" s="487"/>
      <c r="K10" s="446"/>
      <c r="L10" s="446"/>
      <c r="M10" s="488"/>
      <c r="N10" s="489"/>
      <c r="O10" s="425"/>
      <c r="P10" s="426"/>
      <c r="Q10" s="427"/>
      <c r="R10" s="428"/>
      <c r="S10" s="425"/>
      <c r="T10" s="426"/>
      <c r="U10" s="354" t="str">
        <f t="shared" si="0"/>
        <v/>
      </c>
      <c r="V10" s="354"/>
      <c r="W10" s="354" t="str">
        <f t="shared" si="3"/>
        <v/>
      </c>
      <c r="X10" s="354"/>
      <c r="Y10" s="354" t="str">
        <f t="shared" si="1"/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0"/>
      <c r="BA10" s="80"/>
    </row>
    <row r="11" spans="1:53" s="2" customFormat="1" ht="34.5" customHeight="1" x14ac:dyDescent="0.15">
      <c r="A11" s="459"/>
      <c r="B11" s="460"/>
      <c r="C11" s="485"/>
      <c r="D11" s="442"/>
      <c r="E11" s="442"/>
      <c r="F11" s="443"/>
      <c r="G11" s="486"/>
      <c r="H11" s="487"/>
      <c r="I11" s="486"/>
      <c r="J11" s="487"/>
      <c r="K11" s="446"/>
      <c r="L11" s="446"/>
      <c r="M11" s="488"/>
      <c r="N11" s="489"/>
      <c r="O11" s="425"/>
      <c r="P11" s="426"/>
      <c r="Q11" s="427"/>
      <c r="R11" s="428"/>
      <c r="S11" s="425"/>
      <c r="T11" s="426"/>
      <c r="U11" s="354" t="str">
        <f t="shared" si="0"/>
        <v/>
      </c>
      <c r="V11" s="354"/>
      <c r="W11" s="354" t="str">
        <f t="shared" si="3"/>
        <v/>
      </c>
      <c r="X11" s="354"/>
      <c r="Y11" s="354" t="str">
        <f t="shared" si="1"/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0"/>
      <c r="BA11" s="80"/>
    </row>
    <row r="12" spans="1:53" s="2" customFormat="1" ht="34.5" customHeight="1" x14ac:dyDescent="0.15">
      <c r="A12" s="459"/>
      <c r="B12" s="460"/>
      <c r="C12" s="485"/>
      <c r="D12" s="442"/>
      <c r="E12" s="442"/>
      <c r="F12" s="443"/>
      <c r="G12" s="486"/>
      <c r="H12" s="487"/>
      <c r="I12" s="486"/>
      <c r="J12" s="487"/>
      <c r="K12" s="446"/>
      <c r="L12" s="446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3"/>
        <v/>
      </c>
      <c r="X12" s="354"/>
      <c r="Y12" s="354" t="str">
        <f t="shared" si="1"/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0"/>
      <c r="BA12" s="80"/>
    </row>
    <row r="13" spans="1:53" s="2" customFormat="1" ht="34.5" customHeight="1" x14ac:dyDescent="0.15">
      <c r="A13" s="459"/>
      <c r="B13" s="460"/>
      <c r="C13" s="485"/>
      <c r="D13" s="442"/>
      <c r="E13" s="442"/>
      <c r="F13" s="443"/>
      <c r="G13" s="486"/>
      <c r="H13" s="487"/>
      <c r="I13" s="486"/>
      <c r="J13" s="487"/>
      <c r="K13" s="446"/>
      <c r="L13" s="446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3"/>
        <v/>
      </c>
      <c r="X13" s="354"/>
      <c r="Y13" s="354" t="str">
        <f t="shared" si="1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0"/>
      <c r="BA13" s="80"/>
    </row>
    <row r="14" spans="1:53" s="2" customFormat="1" ht="34.5" customHeight="1" x14ac:dyDescent="0.15">
      <c r="A14" s="459"/>
      <c r="B14" s="460"/>
      <c r="C14" s="485"/>
      <c r="D14" s="442"/>
      <c r="E14" s="442"/>
      <c r="F14" s="443"/>
      <c r="G14" s="486"/>
      <c r="H14" s="487"/>
      <c r="I14" s="486"/>
      <c r="J14" s="487"/>
      <c r="K14" s="446"/>
      <c r="L14" s="446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3"/>
        <v/>
      </c>
      <c r="X14" s="354"/>
      <c r="Y14" s="354" t="str">
        <f t="shared" si="1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0"/>
      <c r="BA14" s="80"/>
    </row>
    <row r="15" spans="1:53" s="2" customFormat="1" ht="34.5" customHeight="1" x14ac:dyDescent="0.15">
      <c r="A15" s="459"/>
      <c r="B15" s="460"/>
      <c r="C15" s="485"/>
      <c r="D15" s="442"/>
      <c r="E15" s="442"/>
      <c r="F15" s="443"/>
      <c r="G15" s="486"/>
      <c r="H15" s="487"/>
      <c r="I15" s="486"/>
      <c r="J15" s="487"/>
      <c r="K15" s="446"/>
      <c r="L15" s="446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3"/>
        <v/>
      </c>
      <c r="X15" s="354"/>
      <c r="Y15" s="354" t="str">
        <f t="shared" si="1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0"/>
      <c r="BA15" s="80"/>
    </row>
    <row r="16" spans="1:53" s="2" customFormat="1" ht="34.5" customHeight="1" thickBot="1" x14ac:dyDescent="0.2">
      <c r="A16" s="468"/>
      <c r="B16" s="469"/>
      <c r="C16" s="392"/>
      <c r="D16" s="374"/>
      <c r="E16" s="374"/>
      <c r="F16" s="375"/>
      <c r="G16" s="471"/>
      <c r="H16" s="472"/>
      <c r="I16" s="471"/>
      <c r="J16" s="472"/>
      <c r="K16" s="473"/>
      <c r="L16" s="473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3"/>
        <v/>
      </c>
      <c r="X16" s="354"/>
      <c r="Y16" s="360" t="str">
        <f t="shared" si="1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0"/>
      <c r="BA16" s="80"/>
    </row>
    <row r="17" spans="1:53" s="2" customFormat="1" ht="21.95" customHeight="1" thickBot="1" x14ac:dyDescent="0.2">
      <c r="A17" s="453" t="s">
        <v>366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367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368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59" s="2" customFormat="1" ht="10.5" customHeight="1" x14ac:dyDescent="0.15"/>
    <row r="34" spans="1:59" s="2" customFormat="1" ht="21.95" customHeight="1" thickBot="1" x14ac:dyDescent="0.2">
      <c r="A34" s="4" t="s">
        <v>369</v>
      </c>
    </row>
    <row r="35" spans="1:59" s="2" customFormat="1" ht="21.95" customHeight="1" x14ac:dyDescent="0.15">
      <c r="A35" s="461" t="s">
        <v>336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59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59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59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59" s="2" customFormat="1" ht="21.95" customHeight="1" x14ac:dyDescent="0.15"/>
    <row r="40" spans="1:59" s="2" customFormat="1" ht="21.95" customHeight="1" x14ac:dyDescent="0.15"/>
    <row r="41" spans="1:59" s="2" customFormat="1" ht="21.95" customHeight="1" x14ac:dyDescent="0.15"/>
    <row r="42" spans="1:59" s="2" customFormat="1" ht="21.95" hidden="1" customHeight="1" x14ac:dyDescent="0.15">
      <c r="B42" s="114" t="s">
        <v>266</v>
      </c>
    </row>
    <row r="43" spans="1:59" s="2" customFormat="1" ht="21.95" hidden="1" customHeight="1" x14ac:dyDescent="0.15">
      <c r="AC43" s="54"/>
      <c r="AD43" s="54"/>
    </row>
    <row r="44" spans="1:59" s="2" customFormat="1" ht="21.75" hidden="1" customHeight="1" x14ac:dyDescent="0.15">
      <c r="B44" s="51" t="s">
        <v>109</v>
      </c>
      <c r="O44" s="351" t="s">
        <v>186</v>
      </c>
      <c r="P44" s="351"/>
      <c r="Q44" s="351"/>
      <c r="AC44" s="54"/>
      <c r="AD44" s="54"/>
    </row>
    <row r="45" spans="1:59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  <c r="AJ45" s="51" t="s">
        <v>838</v>
      </c>
      <c r="AN45" s="51" t="s">
        <v>839</v>
      </c>
      <c r="AR45" s="51" t="s">
        <v>840</v>
      </c>
      <c r="AV45" s="51" t="s">
        <v>841</v>
      </c>
      <c r="AZ45" s="51" t="s">
        <v>842</v>
      </c>
      <c r="BD45" s="51" t="s">
        <v>843</v>
      </c>
    </row>
    <row r="46" spans="1:59" s="2" customFormat="1" ht="21.75" hidden="1" customHeight="1" x14ac:dyDescent="0.15">
      <c r="A46" s="30"/>
      <c r="B46" s="223" t="s">
        <v>833</v>
      </c>
      <c r="C46" s="224" t="s">
        <v>156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  <c r="AN46" s="208" t="s">
        <v>833</v>
      </c>
      <c r="AO46" s="208" t="s">
        <v>834</v>
      </c>
      <c r="AP46" s="208" t="s">
        <v>835</v>
      </c>
      <c r="AQ46" s="208" t="s">
        <v>836</v>
      </c>
      <c r="AR46" s="208" t="s">
        <v>833</v>
      </c>
      <c r="AS46" s="208" t="s">
        <v>834</v>
      </c>
      <c r="AT46" s="208" t="s">
        <v>835</v>
      </c>
      <c r="AU46" s="208" t="s">
        <v>836</v>
      </c>
      <c r="AV46" s="208" t="s">
        <v>833</v>
      </c>
      <c r="AW46" s="208" t="s">
        <v>834</v>
      </c>
      <c r="AX46" s="208" t="s">
        <v>835</v>
      </c>
      <c r="AY46" s="208" t="s">
        <v>836</v>
      </c>
      <c r="AZ46" s="208" t="s">
        <v>833</v>
      </c>
      <c r="BA46" s="208" t="s">
        <v>834</v>
      </c>
      <c r="BB46" s="208" t="s">
        <v>835</v>
      </c>
      <c r="BC46" s="208" t="s">
        <v>836</v>
      </c>
      <c r="BD46" s="208" t="s">
        <v>833</v>
      </c>
      <c r="BE46" s="208" t="s">
        <v>834</v>
      </c>
      <c r="BF46" s="208" t="s">
        <v>835</v>
      </c>
      <c r="BG46" s="208" t="s">
        <v>836</v>
      </c>
    </row>
    <row r="47" spans="1:59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BD47" s="209" t="s">
        <v>282</v>
      </c>
      <c r="BE47" s="210" t="s">
        <v>297</v>
      </c>
      <c r="BF47" s="211" t="s">
        <v>290</v>
      </c>
      <c r="BG47" s="212" t="s">
        <v>290</v>
      </c>
    </row>
    <row r="48" spans="1:59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BD48" s="209" t="s">
        <v>283</v>
      </c>
      <c r="BE48" s="210" t="s">
        <v>298</v>
      </c>
      <c r="BF48" s="211" t="s">
        <v>291</v>
      </c>
      <c r="BG48" s="212" t="s">
        <v>291</v>
      </c>
    </row>
    <row r="49" spans="1:59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BD49" s="209" t="s">
        <v>284</v>
      </c>
      <c r="BE49" s="210" t="s">
        <v>290</v>
      </c>
      <c r="BF49" s="211" t="s">
        <v>299</v>
      </c>
      <c r="BG49" s="212" t="s">
        <v>299</v>
      </c>
    </row>
    <row r="50" spans="1:59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BD50" s="209" t="s">
        <v>285</v>
      </c>
      <c r="BE50" s="210" t="s">
        <v>291</v>
      </c>
      <c r="BF50" s="211" t="s">
        <v>300</v>
      </c>
      <c r="BG50" s="212" t="s">
        <v>300</v>
      </c>
    </row>
    <row r="51" spans="1:59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BD51" s="209" t="s">
        <v>286</v>
      </c>
      <c r="BE51" s="210" t="s">
        <v>311</v>
      </c>
      <c r="BF51" s="211" t="s">
        <v>313</v>
      </c>
      <c r="BG51" s="212" t="s">
        <v>304</v>
      </c>
    </row>
    <row r="52" spans="1:59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BD52" s="209" t="s">
        <v>287</v>
      </c>
      <c r="BE52" s="210" t="s">
        <v>312</v>
      </c>
      <c r="BF52" s="211" t="s">
        <v>314</v>
      </c>
      <c r="BG52" s="212" t="s">
        <v>305</v>
      </c>
    </row>
    <row r="53" spans="1:59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BD53" s="209" t="s">
        <v>288</v>
      </c>
      <c r="BE53" s="210" t="s">
        <v>304</v>
      </c>
      <c r="BF53" s="211" t="s">
        <v>785</v>
      </c>
      <c r="BG53" s="212" t="s">
        <v>785</v>
      </c>
    </row>
    <row r="54" spans="1:59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BD54" s="209" t="s">
        <v>289</v>
      </c>
      <c r="BE54" s="210" t="s">
        <v>305</v>
      </c>
      <c r="BF54" s="211" t="s">
        <v>786</v>
      </c>
      <c r="BG54" s="212" t="s">
        <v>786</v>
      </c>
    </row>
    <row r="55" spans="1:59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BD55" s="209" t="s">
        <v>290</v>
      </c>
      <c r="BE55" s="210" t="s">
        <v>785</v>
      </c>
      <c r="BF55" s="211" t="s">
        <v>292</v>
      </c>
      <c r="BG55" s="212" t="s">
        <v>292</v>
      </c>
    </row>
    <row r="56" spans="1:59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BD56" s="209" t="s">
        <v>291</v>
      </c>
      <c r="BE56" s="210" t="s">
        <v>786</v>
      </c>
      <c r="BF56" s="211" t="s">
        <v>293</v>
      </c>
      <c r="BG56" s="212" t="s">
        <v>293</v>
      </c>
    </row>
    <row r="57" spans="1:59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BD57" s="209" t="s">
        <v>302</v>
      </c>
      <c r="BE57" s="210" t="s">
        <v>292</v>
      </c>
      <c r="BF57" s="211" t="s">
        <v>294</v>
      </c>
      <c r="BG57" s="212" t="s">
        <v>294</v>
      </c>
    </row>
    <row r="58" spans="1:59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BD58" s="209" t="s">
        <v>303</v>
      </c>
      <c r="BE58" s="210" t="s">
        <v>293</v>
      </c>
      <c r="BF58" s="211" t="s">
        <v>295</v>
      </c>
      <c r="BG58" s="212" t="s">
        <v>295</v>
      </c>
    </row>
    <row r="59" spans="1:59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BD59" s="209" t="s">
        <v>292</v>
      </c>
      <c r="BE59" s="210" t="s">
        <v>294</v>
      </c>
      <c r="BF59" s="211" t="s">
        <v>296</v>
      </c>
      <c r="BG59" s="212" t="s">
        <v>296</v>
      </c>
    </row>
    <row r="60" spans="1:59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BD60" s="209" t="s">
        <v>293</v>
      </c>
      <c r="BE60" s="210" t="s">
        <v>295</v>
      </c>
      <c r="BF60" s="211" t="s">
        <v>306</v>
      </c>
      <c r="BG60" s="212" t="s">
        <v>315</v>
      </c>
    </row>
    <row r="61" spans="1:59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BD61" s="209" t="s">
        <v>294</v>
      </c>
      <c r="BE61" s="210" t="s">
        <v>296</v>
      </c>
      <c r="BF61" s="211" t="s">
        <v>307</v>
      </c>
      <c r="BG61" s="212" t="s">
        <v>316</v>
      </c>
    </row>
    <row r="62" spans="1:59" s="2" customFormat="1" ht="21.75" hidden="1" customHeight="1" x14ac:dyDescent="0.15">
      <c r="A62" s="30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BD62" s="209" t="s">
        <v>295</v>
      </c>
      <c r="BE62" s="210" t="s">
        <v>306</v>
      </c>
      <c r="BF62" s="211" t="s">
        <v>308</v>
      </c>
      <c r="BG62" s="212" t="s">
        <v>317</v>
      </c>
    </row>
    <row r="63" spans="1:59" s="2" customFormat="1" ht="21.75" hidden="1" customHeight="1" x14ac:dyDescent="0.15">
      <c r="A63" s="56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BD63" s="209" t="s">
        <v>296</v>
      </c>
      <c r="BE63" s="210" t="s">
        <v>307</v>
      </c>
      <c r="BF63" s="211" t="s">
        <v>309</v>
      </c>
      <c r="BG63" s="212" t="s">
        <v>318</v>
      </c>
    </row>
    <row r="64" spans="1:59" s="2" customFormat="1" ht="21.75" hidden="1" customHeight="1" x14ac:dyDescent="0.15">
      <c r="A64" s="30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BD64" s="209" t="s">
        <v>304</v>
      </c>
      <c r="BE64" s="210" t="s">
        <v>308</v>
      </c>
      <c r="BF64" s="211" t="s">
        <v>310</v>
      </c>
      <c r="BG64" s="212" t="s">
        <v>319</v>
      </c>
    </row>
    <row r="65" spans="1:59" s="2" customFormat="1" ht="21.75" hidden="1" customHeight="1" x14ac:dyDescent="0.15">
      <c r="A65" s="56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BD65" s="209" t="s">
        <v>305</v>
      </c>
      <c r="BE65" s="210" t="s">
        <v>309</v>
      </c>
      <c r="BF65" s="213"/>
      <c r="BG65" s="212" t="s">
        <v>301</v>
      </c>
    </row>
    <row r="66" spans="1:59" s="2" customFormat="1" ht="21.75" hidden="1" customHeight="1" x14ac:dyDescent="0.15">
      <c r="A66" s="30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BD66" s="209" t="s">
        <v>785</v>
      </c>
      <c r="BE66" s="210" t="s">
        <v>310</v>
      </c>
      <c r="BF66" s="213"/>
      <c r="BG66" s="212" t="s">
        <v>320</v>
      </c>
    </row>
    <row r="67" spans="1:59" s="2" customFormat="1" ht="21.75" hidden="1" customHeight="1" x14ac:dyDescent="0.15">
      <c r="A67" s="56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BD67" s="209" t="s">
        <v>786</v>
      </c>
      <c r="BE67" s="214"/>
      <c r="BF67" s="213"/>
      <c r="BG67" s="212" t="s">
        <v>321</v>
      </c>
    </row>
    <row r="68" spans="1:59" s="3" customFormat="1" ht="21.75" hidden="1" customHeight="1" x14ac:dyDescent="0.15">
      <c r="A68" s="30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BD68" s="209" t="s">
        <v>306</v>
      </c>
      <c r="BE68" s="214"/>
      <c r="BF68" s="213"/>
      <c r="BG68" s="212" t="s">
        <v>278</v>
      </c>
    </row>
    <row r="69" spans="1:59" s="3" customFormat="1" ht="21.75" hidden="1" customHeight="1" x14ac:dyDescent="0.15">
      <c r="A69" s="56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BD69" s="209" t="s">
        <v>307</v>
      </c>
      <c r="BE69" s="214"/>
      <c r="BF69" s="215"/>
      <c r="BG69" s="212" t="s">
        <v>279</v>
      </c>
    </row>
    <row r="70" spans="1:59" ht="21.75" hidden="1" customHeight="1" x14ac:dyDescent="0.15">
      <c r="A70" s="30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BD70" s="209" t="s">
        <v>308</v>
      </c>
      <c r="BE70" s="214"/>
      <c r="BF70" s="215"/>
      <c r="BG70" s="212" t="s">
        <v>280</v>
      </c>
    </row>
    <row r="71" spans="1:59" ht="21.75" hidden="1" customHeight="1" x14ac:dyDescent="0.15">
      <c r="A71" s="56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BD71" s="209" t="s">
        <v>309</v>
      </c>
      <c r="BE71" s="214"/>
      <c r="BF71" s="215"/>
      <c r="BG71" s="212" t="s">
        <v>322</v>
      </c>
    </row>
    <row r="72" spans="1:59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107">
        <v>0.63</v>
      </c>
      <c r="P72" s="107">
        <v>0.27</v>
      </c>
      <c r="Q72" s="107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BD72" s="209" t="s">
        <v>310</v>
      </c>
      <c r="BE72" s="215"/>
      <c r="BF72" s="215"/>
      <c r="BG72" s="215"/>
    </row>
    <row r="73" spans="1:59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BD73" s="209" t="s">
        <v>277</v>
      </c>
      <c r="BE73" s="216"/>
      <c r="BF73" s="216"/>
      <c r="BG73" s="216"/>
    </row>
    <row r="74" spans="1:59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BD74" s="209" t="s">
        <v>278</v>
      </c>
      <c r="BE74" s="215"/>
      <c r="BF74" s="215"/>
      <c r="BG74" s="215"/>
    </row>
    <row r="75" spans="1:59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BD75" s="209" t="s">
        <v>279</v>
      </c>
      <c r="BE75" s="215"/>
      <c r="BF75" s="215"/>
      <c r="BG75" s="215"/>
    </row>
    <row r="76" spans="1:59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BD76" s="209" t="s">
        <v>280</v>
      </c>
      <c r="BE76" s="215"/>
      <c r="BF76" s="215"/>
      <c r="BG76" s="215"/>
    </row>
    <row r="77" spans="1:59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BD77" s="209" t="s">
        <v>281</v>
      </c>
      <c r="BE77" s="215"/>
      <c r="BF77" s="215"/>
      <c r="BG77" s="215"/>
    </row>
    <row r="78" spans="1:59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59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59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111">
        <f t="shared" ref="T146:AC146" si="8">SUM(T142:T145)</f>
        <v>0</v>
      </c>
      <c r="U146" s="111">
        <f t="shared" si="8"/>
        <v>0</v>
      </c>
      <c r="V146" s="111">
        <f t="shared" si="8"/>
        <v>0</v>
      </c>
      <c r="W146" s="111">
        <f t="shared" si="8"/>
        <v>0</v>
      </c>
      <c r="X146" s="111">
        <f t="shared" si="8"/>
        <v>0</v>
      </c>
      <c r="Y146" s="111">
        <f t="shared" si="8"/>
        <v>0</v>
      </c>
      <c r="Z146" s="111">
        <f t="shared" si="8"/>
        <v>0</v>
      </c>
      <c r="AA146" s="111">
        <f t="shared" si="8"/>
        <v>0</v>
      </c>
      <c r="AB146" s="111">
        <f t="shared" si="8"/>
        <v>0</v>
      </c>
      <c r="AC146" s="111">
        <f t="shared" si="8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111">
        <f>SUM(T148:T151)</f>
        <v>0</v>
      </c>
      <c r="U152" s="111">
        <f t="shared" ref="U152:AC152" si="9">SUM(U148:U151)</f>
        <v>0</v>
      </c>
      <c r="V152" s="111">
        <f t="shared" si="9"/>
        <v>0</v>
      </c>
      <c r="W152" s="111">
        <f t="shared" si="9"/>
        <v>0</v>
      </c>
      <c r="X152" s="111">
        <f t="shared" si="9"/>
        <v>0</v>
      </c>
      <c r="Y152" s="111">
        <f t="shared" si="9"/>
        <v>0</v>
      </c>
      <c r="Z152" s="111">
        <f t="shared" si="9"/>
        <v>0</v>
      </c>
      <c r="AA152" s="111">
        <f t="shared" si="9"/>
        <v>0</v>
      </c>
      <c r="AB152" s="111">
        <f t="shared" si="9"/>
        <v>0</v>
      </c>
      <c r="AC152" s="111">
        <f t="shared" si="9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267</v>
      </c>
      <c r="AO157" t="s">
        <v>810</v>
      </c>
    </row>
    <row r="158" spans="20:41" ht="24" hidden="1" customHeight="1" x14ac:dyDescent="0.15">
      <c r="T158" s="111">
        <f>SUM(T154:T157)</f>
        <v>0</v>
      </c>
      <c r="U158" s="111">
        <f t="shared" ref="U158:AC158" si="10">SUM(U154:U157)</f>
        <v>0</v>
      </c>
      <c r="V158" s="111">
        <f t="shared" si="10"/>
        <v>0</v>
      </c>
      <c r="W158" s="111">
        <f t="shared" si="10"/>
        <v>0</v>
      </c>
      <c r="X158" s="111">
        <f t="shared" si="10"/>
        <v>0</v>
      </c>
      <c r="Y158" s="111">
        <f t="shared" si="10"/>
        <v>0</v>
      </c>
      <c r="Z158" s="111">
        <f t="shared" si="10"/>
        <v>0</v>
      </c>
      <c r="AA158" s="111">
        <f t="shared" si="10"/>
        <v>0</v>
      </c>
      <c r="AB158" s="111">
        <f t="shared" si="10"/>
        <v>0</v>
      </c>
      <c r="AC158" s="111">
        <f t="shared" si="10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111">
        <f t="shared" ref="T164:AC164" si="11">SUM(T160:T163)</f>
        <v>0</v>
      </c>
      <c r="U164" s="111">
        <f t="shared" si="11"/>
        <v>0</v>
      </c>
      <c r="V164" s="111">
        <f t="shared" si="11"/>
        <v>0</v>
      </c>
      <c r="W164" s="111">
        <f t="shared" si="11"/>
        <v>0</v>
      </c>
      <c r="X164" s="111">
        <f t="shared" si="11"/>
        <v>0</v>
      </c>
      <c r="Y164" s="111">
        <f t="shared" si="11"/>
        <v>0</v>
      </c>
      <c r="Z164" s="111">
        <f t="shared" si="11"/>
        <v>0</v>
      </c>
      <c r="AA164" s="111">
        <f t="shared" si="11"/>
        <v>0</v>
      </c>
      <c r="AB164" s="111">
        <f t="shared" si="11"/>
        <v>0</v>
      </c>
      <c r="AC164" s="111">
        <f t="shared" si="11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73">
        <f>IF($K7="障子",T158,IF($K7="外付けブラインド",T164,T152))</f>
        <v>0</v>
      </c>
      <c r="U166" s="73">
        <f>IF($K8="障子",U158,IF($K8="外付けブラインド",U164,U152))</f>
        <v>0</v>
      </c>
      <c r="V166" s="73">
        <f>IF($K9="障子",V158,IF($K9="外付けブラインド",V164,V152))</f>
        <v>0</v>
      </c>
      <c r="W166" s="73">
        <f>IF($K10="障子",W158,IF($K10="外付けブラインド",W164,W152))</f>
        <v>0</v>
      </c>
      <c r="X166" s="73">
        <f>IF($K11="障子",X158,IF($K11="外付けブラインド",X164,X152))</f>
        <v>0</v>
      </c>
      <c r="Y166" s="73">
        <f>IF($K12="障子",Y158,IF($K12="外付けブラインド",Y164,Y152))</f>
        <v>0</v>
      </c>
      <c r="Z166" s="73">
        <f>IF($K13="障子",Z158,IF($K13="外付けブラインド",Z164,Z152))</f>
        <v>0</v>
      </c>
      <c r="AA166" s="73">
        <f>IF($K14="障子",AA158,IF($K14="外付けブラインド",AA164,AA152))</f>
        <v>0</v>
      </c>
      <c r="AB166" s="73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51" t="s">
        <v>846</v>
      </c>
      <c r="H172" t="s">
        <v>7</v>
      </c>
      <c r="J172" s="51" t="s">
        <v>847</v>
      </c>
      <c r="K172" s="51" t="s">
        <v>848</v>
      </c>
      <c r="L172" s="51" t="s">
        <v>849</v>
      </c>
      <c r="M172" s="51" t="s">
        <v>853</v>
      </c>
      <c r="N172" s="51" t="s">
        <v>850</v>
      </c>
      <c r="O172" s="245" t="s">
        <v>851</v>
      </c>
      <c r="P172" s="51" t="s">
        <v>852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O173" s="80" t="s">
        <v>787</v>
      </c>
      <c r="R173" s="118"/>
      <c r="AC173" s="116"/>
      <c r="AD173" s="58"/>
      <c r="AE173" s="75"/>
      <c r="AF173" s="75"/>
      <c r="AG173" s="75"/>
      <c r="AH173" s="75"/>
      <c r="AI173" s="75"/>
      <c r="AJ173" s="75"/>
      <c r="AK173" s="75"/>
      <c r="AL173" s="75"/>
      <c r="AM173" s="75"/>
    </row>
    <row r="174" spans="2:41" ht="24" hidden="1" customHeight="1" x14ac:dyDescent="0.15">
      <c r="B174" s="80" t="s">
        <v>788</v>
      </c>
      <c r="C174" s="115">
        <v>2.33</v>
      </c>
      <c r="G174" t="s">
        <v>330</v>
      </c>
      <c r="H174" s="111" t="e">
        <f>VLOOKUP(O23,$B$173:$C$187,2,0)</f>
        <v>#N/A</v>
      </c>
      <c r="O174" s="80" t="s">
        <v>788</v>
      </c>
      <c r="R174" s="118"/>
      <c r="AC174" s="116"/>
      <c r="AD174" s="58"/>
      <c r="AE174" s="75"/>
      <c r="AF174" s="75"/>
      <c r="AG174" s="75"/>
      <c r="AH174" s="75"/>
      <c r="AI174" s="75"/>
      <c r="AJ174" s="75"/>
      <c r="AK174" s="75"/>
      <c r="AL174" s="75"/>
      <c r="AM174" s="75"/>
    </row>
    <row r="175" spans="2:41" ht="24" hidden="1" customHeight="1" x14ac:dyDescent="0.15">
      <c r="B175" s="80" t="s">
        <v>794</v>
      </c>
      <c r="C175" s="115">
        <v>2.91</v>
      </c>
      <c r="O175" s="80" t="s">
        <v>794</v>
      </c>
      <c r="AC175" s="116"/>
      <c r="AD175" s="58"/>
      <c r="AE175" s="75"/>
      <c r="AF175" s="75"/>
      <c r="AG175" s="75"/>
      <c r="AH175" s="75"/>
      <c r="AI175" s="75"/>
      <c r="AJ175" s="75"/>
      <c r="AK175" s="75"/>
      <c r="AL175" s="75"/>
      <c r="AM175" s="75"/>
    </row>
    <row r="176" spans="2:41" ht="24" hidden="1" customHeight="1" x14ac:dyDescent="0.15">
      <c r="B176" s="80" t="s">
        <v>789</v>
      </c>
      <c r="C176" s="115">
        <v>2.91</v>
      </c>
      <c r="O176" s="80" t="s">
        <v>789</v>
      </c>
      <c r="AC176" s="116"/>
      <c r="AD176" s="58"/>
      <c r="AE176" s="75"/>
      <c r="AF176" s="75"/>
      <c r="AG176" s="75"/>
      <c r="AH176" s="75"/>
      <c r="AI176" s="75"/>
      <c r="AJ176" s="75"/>
      <c r="AK176" s="75"/>
      <c r="AL176" s="75"/>
      <c r="AM176" s="75"/>
    </row>
    <row r="177" spans="2:39" ht="24" hidden="1" customHeight="1" x14ac:dyDescent="0.15">
      <c r="B177" s="80" t="s">
        <v>791</v>
      </c>
      <c r="C177" s="115">
        <v>2.33</v>
      </c>
      <c r="O177" s="80" t="s">
        <v>791</v>
      </c>
      <c r="AC177" s="78"/>
      <c r="AD177" s="58"/>
      <c r="AE177" s="75"/>
      <c r="AF177" s="75"/>
      <c r="AG177" s="75"/>
      <c r="AH177" s="75"/>
      <c r="AI177" s="75"/>
      <c r="AJ177" s="75"/>
      <c r="AK177" s="75"/>
      <c r="AL177" s="75"/>
      <c r="AM177" s="75"/>
    </row>
    <row r="178" spans="2:39" ht="24" hidden="1" customHeight="1" x14ac:dyDescent="0.15">
      <c r="B178" s="80" t="s">
        <v>795</v>
      </c>
      <c r="C178" s="115">
        <v>1.75</v>
      </c>
      <c r="O178" s="80" t="s">
        <v>795</v>
      </c>
      <c r="AC178" s="78"/>
      <c r="AD178" s="58"/>
      <c r="AE178" s="75"/>
      <c r="AF178" s="75"/>
      <c r="AG178" s="75"/>
      <c r="AH178" s="75"/>
      <c r="AI178" s="75"/>
      <c r="AJ178" s="75"/>
      <c r="AK178" s="75"/>
      <c r="AL178" s="75"/>
      <c r="AM178" s="75"/>
    </row>
    <row r="179" spans="2:39" ht="24" hidden="1" customHeight="1" x14ac:dyDescent="0.15">
      <c r="B179" s="80" t="s">
        <v>796</v>
      </c>
      <c r="C179" s="115">
        <v>2.33</v>
      </c>
      <c r="O179" s="80" t="s">
        <v>796</v>
      </c>
      <c r="AC179" s="78"/>
      <c r="AD179" s="58"/>
      <c r="AE179" s="75"/>
      <c r="AF179" s="75"/>
      <c r="AG179" s="75"/>
      <c r="AH179" s="75"/>
      <c r="AI179" s="75"/>
      <c r="AJ179" s="75"/>
      <c r="AK179" s="75"/>
      <c r="AL179" s="75"/>
      <c r="AM179" s="75"/>
    </row>
    <row r="180" spans="2:39" ht="24" hidden="1" customHeight="1" x14ac:dyDescent="0.15">
      <c r="B180" s="80" t="s">
        <v>797</v>
      </c>
      <c r="C180" s="115">
        <v>2.91</v>
      </c>
      <c r="O180" s="80" t="s">
        <v>797</v>
      </c>
      <c r="AC180" s="78"/>
      <c r="AD180" s="58"/>
      <c r="AE180" s="75"/>
      <c r="AF180" s="75"/>
      <c r="AG180" s="75"/>
      <c r="AH180" s="75"/>
      <c r="AI180" s="75"/>
      <c r="AJ180" s="75"/>
      <c r="AK180" s="75"/>
      <c r="AL180" s="75"/>
      <c r="AM180" s="75"/>
    </row>
    <row r="181" spans="2:39" ht="24" hidden="1" customHeight="1" x14ac:dyDescent="0.15">
      <c r="B181" s="80" t="s">
        <v>798</v>
      </c>
      <c r="C181" s="115">
        <v>2.91</v>
      </c>
      <c r="O181" s="80" t="s">
        <v>798</v>
      </c>
      <c r="AC181" s="78"/>
      <c r="AD181" s="76"/>
      <c r="AE181" s="75"/>
      <c r="AF181" s="75"/>
      <c r="AG181" s="75"/>
      <c r="AH181" s="75"/>
      <c r="AI181" s="75"/>
      <c r="AJ181" s="75"/>
      <c r="AK181" s="75"/>
      <c r="AL181" s="75"/>
      <c r="AM181" s="75"/>
    </row>
    <row r="182" spans="2:39" ht="24" hidden="1" customHeight="1" x14ac:dyDescent="0.15">
      <c r="B182" s="80" t="s">
        <v>799</v>
      </c>
      <c r="C182" s="115">
        <v>2.33</v>
      </c>
      <c r="O182" s="80" t="s">
        <v>799</v>
      </c>
      <c r="AC182" s="78"/>
      <c r="AD182" s="58"/>
      <c r="AE182" s="75"/>
      <c r="AF182" s="75"/>
      <c r="AG182" s="75"/>
      <c r="AH182" s="75"/>
      <c r="AI182" s="75"/>
      <c r="AJ182" s="75"/>
      <c r="AK182" s="75"/>
      <c r="AL182" s="75"/>
      <c r="AM182" s="75"/>
    </row>
    <row r="183" spans="2:39" ht="24" hidden="1" customHeight="1" x14ac:dyDescent="0.15">
      <c r="B183" s="80" t="s">
        <v>801</v>
      </c>
      <c r="C183" s="115">
        <v>3.49</v>
      </c>
      <c r="O183" s="80" t="s">
        <v>801</v>
      </c>
      <c r="AC183" s="78"/>
      <c r="AD183" s="58"/>
      <c r="AE183" s="75"/>
      <c r="AF183" s="75"/>
      <c r="AG183" s="75"/>
      <c r="AH183" s="75"/>
      <c r="AI183" s="75"/>
      <c r="AJ183" s="75"/>
      <c r="AK183" s="75"/>
      <c r="AL183" s="75"/>
      <c r="AM183" s="75"/>
    </row>
    <row r="184" spans="2:39" ht="24" hidden="1" customHeight="1" x14ac:dyDescent="0.15">
      <c r="B184" s="80" t="s">
        <v>803</v>
      </c>
      <c r="C184" s="115">
        <v>3.49</v>
      </c>
      <c r="O184" s="80" t="s">
        <v>803</v>
      </c>
    </row>
    <row r="185" spans="2:39" ht="24" hidden="1" customHeight="1" x14ac:dyDescent="0.15">
      <c r="B185" s="80" t="s">
        <v>805</v>
      </c>
      <c r="C185" s="115">
        <v>4.6500000000000004</v>
      </c>
      <c r="O185" s="80" t="s">
        <v>805</v>
      </c>
    </row>
    <row r="186" spans="2:39" ht="24" hidden="1" customHeight="1" x14ac:dyDescent="0.15">
      <c r="B186" s="80" t="s">
        <v>806</v>
      </c>
      <c r="C186" s="115">
        <v>4.07</v>
      </c>
      <c r="O186" s="80" t="s">
        <v>806</v>
      </c>
    </row>
    <row r="187" spans="2:39" ht="24" hidden="1" customHeight="1" x14ac:dyDescent="0.15">
      <c r="B187" s="80" t="s">
        <v>808</v>
      </c>
      <c r="C187" s="115">
        <v>4.6500000000000004</v>
      </c>
      <c r="O187" s="80" t="s">
        <v>808</v>
      </c>
    </row>
  </sheetData>
  <sheetProtection algorithmName="SHA-512" hashValue="pHnLqbkg2uDuC/1wuDS5i28Yaal660pvzxSVe4bH/+Q1LH67KYarSavYSZceAUvqUk4WPAZraxNzUyzOfsOBcw==" saltValue="mr9pGGKYk5c4tLj2ClGY0Q==" spinCount="100000" sheet="1" objects="1" scenarios="1" selectLockedCells="1"/>
  <mergeCells count="242"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</mergeCells>
  <phoneticPr fontId="2"/>
  <conditionalFormatting sqref="U17:V17">
    <cfRule type="expression" dxfId="47" priority="18" stopIfTrue="1">
      <formula>$U$17=0</formula>
    </cfRule>
  </conditionalFormatting>
  <conditionalFormatting sqref="W17:X17">
    <cfRule type="expression" dxfId="46" priority="17" stopIfTrue="1">
      <formula>$W$17=0</formula>
    </cfRule>
  </conditionalFormatting>
  <conditionalFormatting sqref="Y17:Z17">
    <cfRule type="expression" dxfId="45" priority="16" stopIfTrue="1">
      <formula>$Y$17=0</formula>
    </cfRule>
  </conditionalFormatting>
  <conditionalFormatting sqref="U24:Z24">
    <cfRule type="expression" dxfId="44" priority="15" stopIfTrue="1">
      <formula>$U$24:$Z$24=0</formula>
    </cfRule>
  </conditionalFormatting>
  <conditionalFormatting sqref="U32:V32">
    <cfRule type="expression" dxfId="43" priority="14" stopIfTrue="1">
      <formula>$U$32:$V$32=0</formula>
    </cfRule>
  </conditionalFormatting>
  <conditionalFormatting sqref="X35:Y35">
    <cfRule type="expression" dxfId="42" priority="13" stopIfTrue="1">
      <formula>$X$35=0</formula>
    </cfRule>
  </conditionalFormatting>
  <conditionalFormatting sqref="P35:Q35">
    <cfRule type="expression" dxfId="41" priority="12" stopIfTrue="1">
      <formula>$P$35=0</formula>
    </cfRule>
  </conditionalFormatting>
  <conditionalFormatting sqref="T35:U35">
    <cfRule type="expression" dxfId="40" priority="11" stopIfTrue="1">
      <formula>$T$35=0</formula>
    </cfRule>
  </conditionalFormatting>
  <conditionalFormatting sqref="K35:M35">
    <cfRule type="expression" dxfId="39" priority="10" stopIfTrue="1">
      <formula>$K$35=0</formula>
    </cfRule>
  </conditionalFormatting>
  <conditionalFormatting sqref="W7:X7">
    <cfRule type="expression" dxfId="38" priority="8" stopIfTrue="1">
      <formula>#VALUE!</formula>
    </cfRule>
    <cfRule type="expression" dxfId="37" priority="9" stopIfTrue="1">
      <formula>#VALUE!</formula>
    </cfRule>
  </conditionalFormatting>
  <conditionalFormatting sqref="W16:X16">
    <cfRule type="expression" dxfId="36" priority="7" stopIfTrue="1">
      <formula>#VALUE!</formula>
    </cfRule>
  </conditionalFormatting>
  <conditionalFormatting sqref="O7:T16">
    <cfRule type="expression" dxfId="35" priority="6" stopIfTrue="1">
      <formula>$AF7=TRUE</formula>
    </cfRule>
  </conditionalFormatting>
  <conditionalFormatting sqref="W7:X7">
    <cfRule type="expression" dxfId="34" priority="4" stopIfTrue="1">
      <formula>#VALUE!</formula>
    </cfRule>
    <cfRule type="expression" dxfId="33" priority="5" stopIfTrue="1">
      <formula>#VALUE!</formula>
    </cfRule>
  </conditionalFormatting>
  <conditionalFormatting sqref="W16:X16">
    <cfRule type="expression" dxfId="32" priority="3" stopIfTrue="1">
      <formula>#VALUE!</formula>
    </cfRule>
  </conditionalFormatting>
  <conditionalFormatting sqref="W32:X32">
    <cfRule type="expression" dxfId="31" priority="2" stopIfTrue="1">
      <formula>$W$32:$X$32=0</formula>
    </cfRule>
  </conditionalFormatting>
  <conditionalFormatting sqref="Y32:Z32">
    <cfRule type="expression" dxfId="30" priority="1" stopIfTrue="1">
      <formula>$Y$32:$Z$32=0</formula>
    </cfRule>
  </conditionalFormatting>
  <dataValidations count="6">
    <dataValidation type="list" allowBlank="1" showInputMessage="1" showErrorMessage="1" sqref="S22:T23" xr:uid="{00000000-0002-0000-0A00-000000000000}">
      <formula1>"あり,なし"</formula1>
    </dataValidation>
    <dataValidation type="list" allowBlank="1" showInputMessage="1" showErrorMessage="1" sqref="K7:L16" xr:uid="{00000000-0002-0000-0A00-000001000000}">
      <formula1>"　,雨戸,ｼｬｯﾀｰ,障子,風除室,外付けブラインド"</formula1>
    </dataValidation>
    <dataValidation type="list" allowBlank="1" showInputMessage="1" showErrorMessage="1" sqref="I29:I31" xr:uid="{00000000-0002-0000-0A00-000002000000}">
      <formula1>"W-1,W-2,W-3"</formula1>
    </dataValidation>
    <dataValidation type="list" allowBlank="1" showInputMessage="1" showErrorMessage="1" sqref="G7:H16" xr:uid="{00000000-0002-0000-0A00-000003000000}">
      <formula1>建具の仕様_西</formula1>
    </dataValidation>
    <dataValidation type="list" allowBlank="1" showInputMessage="1" showErrorMessage="1" sqref="I7:J16" xr:uid="{00000000-0002-0000-0A00-000004000000}">
      <formula1>INDIRECT(G7)</formula1>
    </dataValidation>
    <dataValidation type="list" allowBlank="1" showInputMessage="1" showErrorMessage="1" sqref="O22:R23" xr:uid="{00000000-0002-0000-0A00-000005000000}">
      <formula1>建具の構成_西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5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6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7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8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9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0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1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2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9" r:id="rId14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0" r:id="rId15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1" r:id="rId16" name="Check Box 39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K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 x14ac:dyDescent="0.15">
      <c r="A1" s="492" t="s">
        <v>344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496" t="b">
        <f>IF(共通条件・結果!Z6="８地域","0.411",IF(共通条件・結果!Z6="７地域",0.406,IF(共通条件・結果!Z6="６地域",0.427,IF(共通条件・結果!Z6="５地域",0.442,IF(共通条件・結果!Z6="４地域",0.401,IF(共通条件・結果!Z6="３地域",0.447,IF(共通条件・結果!Z6="２地域",0.428,IF(共通条件・結果!Z6="１地域",0.411))))))))</f>
        <v>0</v>
      </c>
      <c r="V3" s="497"/>
      <c r="W3" s="496" t="b">
        <f>IF(共通条件・結果!Z6="８地域","-",IF(共通条件・結果!Z6="７地域",0.284,IF(共通条件・結果!Z6="６地域",0.317,IF(共通条件・結果!Z6="５地域",0.297,IF(共通条件・結果!Z6="４地域",0.326,IF(共通条件・結果!Z6="３地域",0.351,IF(共通条件・結果!Z6="２地域",0.341,IF(共通条件・結果!Z6="１地域",0.325))))))))</f>
        <v>0</v>
      </c>
      <c r="X3" s="497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491"/>
      <c r="C7" s="475"/>
      <c r="D7" s="476"/>
      <c r="E7" s="476"/>
      <c r="F7" s="477"/>
      <c r="G7" s="429"/>
      <c r="H7" s="430"/>
      <c r="I7" s="431"/>
      <c r="J7" s="432"/>
      <c r="K7" s="473"/>
      <c r="L7" s="47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 t="shared" ref="Y7:Y16" si="1"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460"/>
      <c r="C8" s="485"/>
      <c r="D8" s="442"/>
      <c r="E8" s="442"/>
      <c r="F8" s="443"/>
      <c r="G8" s="486"/>
      <c r="H8" s="487"/>
      <c r="I8" s="486"/>
      <c r="J8" s="487"/>
      <c r="K8" s="446"/>
      <c r="L8" s="446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3">IF(C8="","",IF(ISERROR(AD8),#VALUE!,AD8))</f>
        <v/>
      </c>
      <c r="X8" s="354"/>
      <c r="Y8" s="354" t="str">
        <f t="shared" si="1"/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0"/>
      <c r="BA8" s="80"/>
    </row>
    <row r="9" spans="1:53" s="2" customFormat="1" ht="34.5" customHeight="1" x14ac:dyDescent="0.15">
      <c r="A9" s="459"/>
      <c r="B9" s="460"/>
      <c r="C9" s="485"/>
      <c r="D9" s="442"/>
      <c r="E9" s="442"/>
      <c r="F9" s="443"/>
      <c r="G9" s="486"/>
      <c r="H9" s="487"/>
      <c r="I9" s="486"/>
      <c r="J9" s="487"/>
      <c r="K9" s="446"/>
      <c r="L9" s="446"/>
      <c r="M9" s="488"/>
      <c r="N9" s="489"/>
      <c r="O9" s="425"/>
      <c r="P9" s="426"/>
      <c r="Q9" s="427"/>
      <c r="R9" s="428"/>
      <c r="S9" s="425"/>
      <c r="T9" s="426"/>
      <c r="U9" s="354" t="str">
        <f t="shared" si="0"/>
        <v/>
      </c>
      <c r="V9" s="354"/>
      <c r="W9" s="354" t="str">
        <f t="shared" si="3"/>
        <v/>
      </c>
      <c r="X9" s="354"/>
      <c r="Y9" s="354" t="str">
        <f t="shared" si="1"/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0"/>
      <c r="BA9" s="80"/>
    </row>
    <row r="10" spans="1:53" s="2" customFormat="1" ht="34.5" customHeight="1" x14ac:dyDescent="0.15">
      <c r="A10" s="459"/>
      <c r="B10" s="460"/>
      <c r="C10" s="485"/>
      <c r="D10" s="442"/>
      <c r="E10" s="442"/>
      <c r="F10" s="443"/>
      <c r="G10" s="486"/>
      <c r="H10" s="487"/>
      <c r="I10" s="486"/>
      <c r="J10" s="487"/>
      <c r="K10" s="446"/>
      <c r="L10" s="446"/>
      <c r="M10" s="488"/>
      <c r="N10" s="489"/>
      <c r="O10" s="425"/>
      <c r="P10" s="426"/>
      <c r="Q10" s="427"/>
      <c r="R10" s="428"/>
      <c r="S10" s="425"/>
      <c r="T10" s="426"/>
      <c r="U10" s="354" t="str">
        <f t="shared" si="0"/>
        <v/>
      </c>
      <c r="V10" s="354"/>
      <c r="W10" s="354" t="str">
        <f t="shared" si="3"/>
        <v/>
      </c>
      <c r="X10" s="354"/>
      <c r="Y10" s="354" t="str">
        <f t="shared" si="1"/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0"/>
      <c r="BA10" s="80"/>
    </row>
    <row r="11" spans="1:53" s="2" customFormat="1" ht="34.5" customHeight="1" x14ac:dyDescent="0.15">
      <c r="A11" s="459"/>
      <c r="B11" s="460"/>
      <c r="C11" s="485"/>
      <c r="D11" s="442"/>
      <c r="E11" s="442"/>
      <c r="F11" s="443"/>
      <c r="G11" s="486"/>
      <c r="H11" s="487"/>
      <c r="I11" s="486"/>
      <c r="J11" s="487"/>
      <c r="K11" s="446"/>
      <c r="L11" s="446"/>
      <c r="M11" s="488"/>
      <c r="N11" s="489"/>
      <c r="O11" s="425"/>
      <c r="P11" s="426"/>
      <c r="Q11" s="427"/>
      <c r="R11" s="428"/>
      <c r="S11" s="425"/>
      <c r="T11" s="426"/>
      <c r="U11" s="354" t="str">
        <f t="shared" si="0"/>
        <v/>
      </c>
      <c r="V11" s="354"/>
      <c r="W11" s="354" t="str">
        <f t="shared" si="3"/>
        <v/>
      </c>
      <c r="X11" s="354"/>
      <c r="Y11" s="354" t="str">
        <f t="shared" si="1"/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0"/>
      <c r="BA11" s="80"/>
    </row>
    <row r="12" spans="1:53" s="2" customFormat="1" ht="34.5" customHeight="1" x14ac:dyDescent="0.15">
      <c r="A12" s="459"/>
      <c r="B12" s="460"/>
      <c r="C12" s="485"/>
      <c r="D12" s="442"/>
      <c r="E12" s="442"/>
      <c r="F12" s="443"/>
      <c r="G12" s="486"/>
      <c r="H12" s="487"/>
      <c r="I12" s="486"/>
      <c r="J12" s="487"/>
      <c r="K12" s="446"/>
      <c r="L12" s="446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3"/>
        <v/>
      </c>
      <c r="X12" s="354"/>
      <c r="Y12" s="354" t="str">
        <f t="shared" si="1"/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0"/>
      <c r="BA12" s="80"/>
    </row>
    <row r="13" spans="1:53" s="2" customFormat="1" ht="34.5" customHeight="1" x14ac:dyDescent="0.15">
      <c r="A13" s="459"/>
      <c r="B13" s="460"/>
      <c r="C13" s="485"/>
      <c r="D13" s="442"/>
      <c r="E13" s="442"/>
      <c r="F13" s="443"/>
      <c r="G13" s="486"/>
      <c r="H13" s="487"/>
      <c r="I13" s="486"/>
      <c r="J13" s="487"/>
      <c r="K13" s="446"/>
      <c r="L13" s="446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3"/>
        <v/>
      </c>
      <c r="X13" s="354"/>
      <c r="Y13" s="354" t="str">
        <f t="shared" si="1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0"/>
      <c r="BA13" s="80"/>
    </row>
    <row r="14" spans="1:53" s="2" customFormat="1" ht="34.5" customHeight="1" x14ac:dyDescent="0.15">
      <c r="A14" s="459"/>
      <c r="B14" s="460"/>
      <c r="C14" s="485"/>
      <c r="D14" s="442"/>
      <c r="E14" s="442"/>
      <c r="F14" s="443"/>
      <c r="G14" s="486"/>
      <c r="H14" s="487"/>
      <c r="I14" s="486"/>
      <c r="J14" s="487"/>
      <c r="K14" s="446"/>
      <c r="L14" s="446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3"/>
        <v/>
      </c>
      <c r="X14" s="354"/>
      <c r="Y14" s="354" t="str">
        <f t="shared" si="1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0"/>
      <c r="BA14" s="80"/>
    </row>
    <row r="15" spans="1:53" s="2" customFormat="1" ht="34.5" customHeight="1" x14ac:dyDescent="0.15">
      <c r="A15" s="459"/>
      <c r="B15" s="460"/>
      <c r="C15" s="485"/>
      <c r="D15" s="442"/>
      <c r="E15" s="442"/>
      <c r="F15" s="443"/>
      <c r="G15" s="486"/>
      <c r="H15" s="487"/>
      <c r="I15" s="486"/>
      <c r="J15" s="487"/>
      <c r="K15" s="446"/>
      <c r="L15" s="446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3"/>
        <v/>
      </c>
      <c r="X15" s="354"/>
      <c r="Y15" s="354" t="str">
        <f t="shared" si="1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0"/>
      <c r="BA15" s="80"/>
    </row>
    <row r="16" spans="1:53" s="2" customFormat="1" ht="34.5" customHeight="1" thickBot="1" x14ac:dyDescent="0.2">
      <c r="A16" s="468"/>
      <c r="B16" s="469"/>
      <c r="C16" s="392"/>
      <c r="D16" s="374"/>
      <c r="E16" s="374"/>
      <c r="F16" s="375"/>
      <c r="G16" s="471"/>
      <c r="H16" s="472"/>
      <c r="I16" s="471"/>
      <c r="J16" s="472"/>
      <c r="K16" s="473"/>
      <c r="L16" s="473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3"/>
        <v/>
      </c>
      <c r="X16" s="354"/>
      <c r="Y16" s="360" t="str">
        <f t="shared" si="1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0"/>
      <c r="BA16" s="80"/>
    </row>
    <row r="17" spans="1:53" s="2" customFormat="1" ht="21.95" customHeight="1" thickBot="1" x14ac:dyDescent="0.2">
      <c r="A17" s="453" t="s">
        <v>370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371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372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63" s="2" customFormat="1" ht="10.5" customHeight="1" x14ac:dyDescent="0.15"/>
    <row r="34" spans="1:63" s="2" customFormat="1" ht="21.95" customHeight="1" thickBot="1" x14ac:dyDescent="0.2">
      <c r="A34" s="4" t="s">
        <v>373</v>
      </c>
    </row>
    <row r="35" spans="1:63" s="2" customFormat="1" ht="21.95" customHeight="1" x14ac:dyDescent="0.15">
      <c r="A35" s="461" t="s">
        <v>337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63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63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63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63" s="2" customFormat="1" ht="21.95" customHeight="1" x14ac:dyDescent="0.15"/>
    <row r="40" spans="1:63" s="2" customFormat="1" ht="21.95" customHeight="1" x14ac:dyDescent="0.15"/>
    <row r="41" spans="1:63" s="2" customFormat="1" ht="21.95" customHeight="1" x14ac:dyDescent="0.15"/>
    <row r="42" spans="1:63" s="2" customFormat="1" ht="21.95" hidden="1" customHeight="1" x14ac:dyDescent="0.15">
      <c r="B42" s="114" t="s">
        <v>266</v>
      </c>
    </row>
    <row r="43" spans="1:63" s="2" customFormat="1" ht="21.95" hidden="1" customHeight="1" x14ac:dyDescent="0.15">
      <c r="AC43" s="54"/>
      <c r="AD43" s="54"/>
    </row>
    <row r="44" spans="1:63" s="2" customFormat="1" ht="21.75" hidden="1" customHeight="1" x14ac:dyDescent="0.15">
      <c r="B44" s="51" t="s">
        <v>109</v>
      </c>
      <c r="O44" s="351" t="s">
        <v>186</v>
      </c>
      <c r="P44" s="351"/>
      <c r="Q44" s="351"/>
      <c r="AC44" s="54"/>
      <c r="AD44" s="54"/>
    </row>
    <row r="45" spans="1:63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  <c r="AJ45" s="51" t="s">
        <v>838</v>
      </c>
      <c r="AN45" s="51" t="s">
        <v>839</v>
      </c>
      <c r="AR45" s="51" t="s">
        <v>840</v>
      </c>
      <c r="AV45" s="51" t="s">
        <v>841</v>
      </c>
      <c r="AZ45" s="51" t="s">
        <v>842</v>
      </c>
      <c r="BD45" s="51" t="s">
        <v>843</v>
      </c>
      <c r="BH45" s="51" t="s">
        <v>844</v>
      </c>
    </row>
    <row r="46" spans="1:63" s="2" customFormat="1" ht="21.75" hidden="1" customHeight="1" x14ac:dyDescent="0.15">
      <c r="A46" s="30"/>
      <c r="B46" s="223" t="s">
        <v>833</v>
      </c>
      <c r="C46" s="224" t="s">
        <v>156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  <c r="AN46" s="208" t="s">
        <v>833</v>
      </c>
      <c r="AO46" s="208" t="s">
        <v>834</v>
      </c>
      <c r="AP46" s="208" t="s">
        <v>835</v>
      </c>
      <c r="AQ46" s="208" t="s">
        <v>836</v>
      </c>
      <c r="AR46" s="208" t="s">
        <v>833</v>
      </c>
      <c r="AS46" s="208" t="s">
        <v>834</v>
      </c>
      <c r="AT46" s="208" t="s">
        <v>835</v>
      </c>
      <c r="AU46" s="208" t="s">
        <v>836</v>
      </c>
      <c r="AV46" s="208" t="s">
        <v>833</v>
      </c>
      <c r="AW46" s="208" t="s">
        <v>834</v>
      </c>
      <c r="AX46" s="208" t="s">
        <v>835</v>
      </c>
      <c r="AY46" s="208" t="s">
        <v>836</v>
      </c>
      <c r="AZ46" s="208" t="s">
        <v>833</v>
      </c>
      <c r="BA46" s="208" t="s">
        <v>834</v>
      </c>
      <c r="BB46" s="208" t="s">
        <v>835</v>
      </c>
      <c r="BC46" s="208" t="s">
        <v>836</v>
      </c>
      <c r="BD46" s="208" t="s">
        <v>833</v>
      </c>
      <c r="BE46" s="208" t="s">
        <v>834</v>
      </c>
      <c r="BF46" s="208" t="s">
        <v>835</v>
      </c>
      <c r="BG46" s="208" t="s">
        <v>836</v>
      </c>
      <c r="BH46" s="208" t="s">
        <v>833</v>
      </c>
      <c r="BI46" s="208" t="s">
        <v>834</v>
      </c>
      <c r="BJ46" s="208" t="s">
        <v>835</v>
      </c>
      <c r="BK46" s="208" t="s">
        <v>836</v>
      </c>
    </row>
    <row r="47" spans="1:63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BH47" s="209" t="s">
        <v>282</v>
      </c>
      <c r="BI47" s="210" t="s">
        <v>297</v>
      </c>
      <c r="BJ47" s="211" t="s">
        <v>290</v>
      </c>
      <c r="BK47" s="212" t="s">
        <v>290</v>
      </c>
    </row>
    <row r="48" spans="1:63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BH48" s="209" t="s">
        <v>283</v>
      </c>
      <c r="BI48" s="210" t="s">
        <v>298</v>
      </c>
      <c r="BJ48" s="211" t="s">
        <v>291</v>
      </c>
      <c r="BK48" s="212" t="s">
        <v>291</v>
      </c>
    </row>
    <row r="49" spans="1:63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BH49" s="209" t="s">
        <v>284</v>
      </c>
      <c r="BI49" s="210" t="s">
        <v>290</v>
      </c>
      <c r="BJ49" s="211" t="s">
        <v>299</v>
      </c>
      <c r="BK49" s="212" t="s">
        <v>299</v>
      </c>
    </row>
    <row r="50" spans="1:63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BH50" s="209" t="s">
        <v>285</v>
      </c>
      <c r="BI50" s="210" t="s">
        <v>291</v>
      </c>
      <c r="BJ50" s="211" t="s">
        <v>300</v>
      </c>
      <c r="BK50" s="212" t="s">
        <v>300</v>
      </c>
    </row>
    <row r="51" spans="1:63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BH51" s="209" t="s">
        <v>286</v>
      </c>
      <c r="BI51" s="210" t="s">
        <v>311</v>
      </c>
      <c r="BJ51" s="211" t="s">
        <v>313</v>
      </c>
      <c r="BK51" s="212" t="s">
        <v>304</v>
      </c>
    </row>
    <row r="52" spans="1:63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BH52" s="209" t="s">
        <v>287</v>
      </c>
      <c r="BI52" s="210" t="s">
        <v>312</v>
      </c>
      <c r="BJ52" s="211" t="s">
        <v>314</v>
      </c>
      <c r="BK52" s="212" t="s">
        <v>305</v>
      </c>
    </row>
    <row r="53" spans="1:63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BH53" s="209" t="s">
        <v>288</v>
      </c>
      <c r="BI53" s="210" t="s">
        <v>304</v>
      </c>
      <c r="BJ53" s="211" t="s">
        <v>785</v>
      </c>
      <c r="BK53" s="212" t="s">
        <v>785</v>
      </c>
    </row>
    <row r="54" spans="1:63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BH54" s="209" t="s">
        <v>289</v>
      </c>
      <c r="BI54" s="210" t="s">
        <v>305</v>
      </c>
      <c r="BJ54" s="211" t="s">
        <v>786</v>
      </c>
      <c r="BK54" s="212" t="s">
        <v>786</v>
      </c>
    </row>
    <row r="55" spans="1:63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BH55" s="209" t="s">
        <v>290</v>
      </c>
      <c r="BI55" s="210" t="s">
        <v>785</v>
      </c>
      <c r="BJ55" s="211" t="s">
        <v>292</v>
      </c>
      <c r="BK55" s="212" t="s">
        <v>292</v>
      </c>
    </row>
    <row r="56" spans="1:63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BH56" s="209" t="s">
        <v>291</v>
      </c>
      <c r="BI56" s="210" t="s">
        <v>786</v>
      </c>
      <c r="BJ56" s="211" t="s">
        <v>293</v>
      </c>
      <c r="BK56" s="212" t="s">
        <v>293</v>
      </c>
    </row>
    <row r="57" spans="1:63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BH57" s="209" t="s">
        <v>302</v>
      </c>
      <c r="BI57" s="210" t="s">
        <v>292</v>
      </c>
      <c r="BJ57" s="211" t="s">
        <v>294</v>
      </c>
      <c r="BK57" s="212" t="s">
        <v>294</v>
      </c>
    </row>
    <row r="58" spans="1:63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BH58" s="209" t="s">
        <v>303</v>
      </c>
      <c r="BI58" s="210" t="s">
        <v>293</v>
      </c>
      <c r="BJ58" s="211" t="s">
        <v>295</v>
      </c>
      <c r="BK58" s="212" t="s">
        <v>295</v>
      </c>
    </row>
    <row r="59" spans="1:63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BH59" s="209" t="s">
        <v>292</v>
      </c>
      <c r="BI59" s="210" t="s">
        <v>294</v>
      </c>
      <c r="BJ59" s="211" t="s">
        <v>296</v>
      </c>
      <c r="BK59" s="212" t="s">
        <v>296</v>
      </c>
    </row>
    <row r="60" spans="1:63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BH60" s="209" t="s">
        <v>293</v>
      </c>
      <c r="BI60" s="210" t="s">
        <v>295</v>
      </c>
      <c r="BJ60" s="211" t="s">
        <v>306</v>
      </c>
      <c r="BK60" s="212" t="s">
        <v>315</v>
      </c>
    </row>
    <row r="61" spans="1:63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BH61" s="209" t="s">
        <v>294</v>
      </c>
      <c r="BI61" s="210" t="s">
        <v>296</v>
      </c>
      <c r="BJ61" s="211" t="s">
        <v>307</v>
      </c>
      <c r="BK61" s="212" t="s">
        <v>316</v>
      </c>
    </row>
    <row r="62" spans="1:63" s="2" customFormat="1" ht="21.75" hidden="1" customHeight="1" x14ac:dyDescent="0.15">
      <c r="A62" s="30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BH62" s="209" t="s">
        <v>295</v>
      </c>
      <c r="BI62" s="210" t="s">
        <v>306</v>
      </c>
      <c r="BJ62" s="211" t="s">
        <v>308</v>
      </c>
      <c r="BK62" s="212" t="s">
        <v>317</v>
      </c>
    </row>
    <row r="63" spans="1:63" s="2" customFormat="1" ht="21.75" hidden="1" customHeight="1" x14ac:dyDescent="0.15">
      <c r="A63" s="56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BH63" s="209" t="s">
        <v>296</v>
      </c>
      <c r="BI63" s="210" t="s">
        <v>307</v>
      </c>
      <c r="BJ63" s="211" t="s">
        <v>309</v>
      </c>
      <c r="BK63" s="212" t="s">
        <v>318</v>
      </c>
    </row>
    <row r="64" spans="1:63" s="2" customFormat="1" ht="21.75" hidden="1" customHeight="1" x14ac:dyDescent="0.15">
      <c r="A64" s="30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BH64" s="209" t="s">
        <v>304</v>
      </c>
      <c r="BI64" s="210" t="s">
        <v>308</v>
      </c>
      <c r="BJ64" s="211" t="s">
        <v>310</v>
      </c>
      <c r="BK64" s="212" t="s">
        <v>319</v>
      </c>
    </row>
    <row r="65" spans="1:63" s="2" customFormat="1" ht="21.75" hidden="1" customHeight="1" x14ac:dyDescent="0.15">
      <c r="A65" s="56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BH65" s="209" t="s">
        <v>305</v>
      </c>
      <c r="BI65" s="210" t="s">
        <v>309</v>
      </c>
      <c r="BJ65" s="213"/>
      <c r="BK65" s="212" t="s">
        <v>301</v>
      </c>
    </row>
    <row r="66" spans="1:63" s="2" customFormat="1" ht="21.75" hidden="1" customHeight="1" x14ac:dyDescent="0.15">
      <c r="A66" s="30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BH66" s="209" t="s">
        <v>785</v>
      </c>
      <c r="BI66" s="210" t="s">
        <v>310</v>
      </c>
      <c r="BJ66" s="213"/>
      <c r="BK66" s="212" t="s">
        <v>320</v>
      </c>
    </row>
    <row r="67" spans="1:63" s="2" customFormat="1" ht="21.75" hidden="1" customHeight="1" x14ac:dyDescent="0.15">
      <c r="A67" s="56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BH67" s="209" t="s">
        <v>786</v>
      </c>
      <c r="BI67" s="214"/>
      <c r="BJ67" s="213"/>
      <c r="BK67" s="212" t="s">
        <v>321</v>
      </c>
    </row>
    <row r="68" spans="1:63" s="3" customFormat="1" ht="21.75" hidden="1" customHeight="1" x14ac:dyDescent="0.15">
      <c r="A68" s="30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BH68" s="209" t="s">
        <v>306</v>
      </c>
      <c r="BI68" s="214"/>
      <c r="BJ68" s="213"/>
      <c r="BK68" s="212" t="s">
        <v>278</v>
      </c>
    </row>
    <row r="69" spans="1:63" s="3" customFormat="1" ht="21.75" hidden="1" customHeight="1" x14ac:dyDescent="0.15">
      <c r="A69" s="56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BH69" s="209" t="s">
        <v>307</v>
      </c>
      <c r="BI69" s="214"/>
      <c r="BJ69" s="215"/>
      <c r="BK69" s="212" t="s">
        <v>279</v>
      </c>
    </row>
    <row r="70" spans="1:63" ht="21.75" hidden="1" customHeight="1" x14ac:dyDescent="0.15">
      <c r="A70" s="30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BH70" s="209" t="s">
        <v>308</v>
      </c>
      <c r="BI70" s="214"/>
      <c r="BJ70" s="215"/>
      <c r="BK70" s="212" t="s">
        <v>280</v>
      </c>
    </row>
    <row r="71" spans="1:63" ht="21.75" hidden="1" customHeight="1" x14ac:dyDescent="0.15">
      <c r="A71" s="56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BH71" s="209" t="s">
        <v>309</v>
      </c>
      <c r="BI71" s="214"/>
      <c r="BJ71" s="215"/>
      <c r="BK71" s="212" t="s">
        <v>322</v>
      </c>
    </row>
    <row r="72" spans="1:63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107">
        <v>0.63</v>
      </c>
      <c r="P72" s="107">
        <v>0.27</v>
      </c>
      <c r="Q72" s="107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BH72" s="209" t="s">
        <v>310</v>
      </c>
      <c r="BI72" s="215"/>
      <c r="BJ72" s="215"/>
      <c r="BK72" s="215"/>
    </row>
    <row r="73" spans="1:63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BH73" s="209" t="s">
        <v>277</v>
      </c>
      <c r="BI73" s="216"/>
      <c r="BJ73" s="216"/>
      <c r="BK73" s="216"/>
    </row>
    <row r="74" spans="1:63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BH74" s="209" t="s">
        <v>278</v>
      </c>
      <c r="BI74" s="215"/>
      <c r="BJ74" s="215"/>
      <c r="BK74" s="215"/>
    </row>
    <row r="75" spans="1:63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BH75" s="209" t="s">
        <v>279</v>
      </c>
      <c r="BI75" s="215"/>
      <c r="BJ75" s="215"/>
      <c r="BK75" s="215"/>
    </row>
    <row r="76" spans="1:63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BH76" s="209" t="s">
        <v>280</v>
      </c>
      <c r="BI76" s="215"/>
      <c r="BJ76" s="215"/>
      <c r="BK76" s="215"/>
    </row>
    <row r="77" spans="1:63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BH77" s="209" t="s">
        <v>281</v>
      </c>
      <c r="BI77" s="215"/>
      <c r="BJ77" s="215"/>
      <c r="BK77" s="215"/>
    </row>
    <row r="78" spans="1:63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63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63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111">
        <f t="shared" ref="T146:AC146" si="8">SUM(T142:T145)</f>
        <v>0</v>
      </c>
      <c r="U146" s="111">
        <f t="shared" si="8"/>
        <v>0</v>
      </c>
      <c r="V146" s="111">
        <f t="shared" si="8"/>
        <v>0</v>
      </c>
      <c r="W146" s="111">
        <f t="shared" si="8"/>
        <v>0</v>
      </c>
      <c r="X146" s="111">
        <f t="shared" si="8"/>
        <v>0</v>
      </c>
      <c r="Y146" s="111">
        <f t="shared" si="8"/>
        <v>0</v>
      </c>
      <c r="Z146" s="111">
        <f t="shared" si="8"/>
        <v>0</v>
      </c>
      <c r="AA146" s="111">
        <f t="shared" si="8"/>
        <v>0</v>
      </c>
      <c r="AB146" s="111">
        <f t="shared" si="8"/>
        <v>0</v>
      </c>
      <c r="AC146" s="111">
        <f t="shared" si="8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111">
        <f>SUM(T148:T151)</f>
        <v>0</v>
      </c>
      <c r="U152" s="111">
        <f t="shared" ref="U152:AC152" si="9">SUM(U148:U151)</f>
        <v>0</v>
      </c>
      <c r="V152" s="111">
        <f t="shared" si="9"/>
        <v>0</v>
      </c>
      <c r="W152" s="111">
        <f t="shared" si="9"/>
        <v>0</v>
      </c>
      <c r="X152" s="111">
        <f t="shared" si="9"/>
        <v>0</v>
      </c>
      <c r="Y152" s="111">
        <f t="shared" si="9"/>
        <v>0</v>
      </c>
      <c r="Z152" s="111">
        <f t="shared" si="9"/>
        <v>0</v>
      </c>
      <c r="AA152" s="111">
        <f t="shared" si="9"/>
        <v>0</v>
      </c>
      <c r="AB152" s="111">
        <f t="shared" si="9"/>
        <v>0</v>
      </c>
      <c r="AC152" s="111">
        <f t="shared" si="9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267</v>
      </c>
      <c r="AO157" t="s">
        <v>810</v>
      </c>
    </row>
    <row r="158" spans="20:41" ht="24" hidden="1" customHeight="1" x14ac:dyDescent="0.15">
      <c r="T158" s="111">
        <f>SUM(T154:T157)</f>
        <v>0</v>
      </c>
      <c r="U158" s="111">
        <f t="shared" ref="U158:AC158" si="10">SUM(U154:U157)</f>
        <v>0</v>
      </c>
      <c r="V158" s="111">
        <f t="shared" si="10"/>
        <v>0</v>
      </c>
      <c r="W158" s="111">
        <f t="shared" si="10"/>
        <v>0</v>
      </c>
      <c r="X158" s="111">
        <f t="shared" si="10"/>
        <v>0</v>
      </c>
      <c r="Y158" s="111">
        <f t="shared" si="10"/>
        <v>0</v>
      </c>
      <c r="Z158" s="111">
        <f t="shared" si="10"/>
        <v>0</v>
      </c>
      <c r="AA158" s="111">
        <f t="shared" si="10"/>
        <v>0</v>
      </c>
      <c r="AB158" s="111">
        <f t="shared" si="10"/>
        <v>0</v>
      </c>
      <c r="AC158" s="111">
        <f t="shared" si="10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111">
        <f t="shared" ref="T164:AC164" si="11">SUM(T160:T163)</f>
        <v>0</v>
      </c>
      <c r="U164" s="111">
        <f t="shared" si="11"/>
        <v>0</v>
      </c>
      <c r="V164" s="111">
        <f t="shared" si="11"/>
        <v>0</v>
      </c>
      <c r="W164" s="111">
        <f t="shared" si="11"/>
        <v>0</v>
      </c>
      <c r="X164" s="111">
        <f t="shared" si="11"/>
        <v>0</v>
      </c>
      <c r="Y164" s="111">
        <f t="shared" si="11"/>
        <v>0</v>
      </c>
      <c r="Z164" s="111">
        <f t="shared" si="11"/>
        <v>0</v>
      </c>
      <c r="AA164" s="111">
        <f t="shared" si="11"/>
        <v>0</v>
      </c>
      <c r="AB164" s="111">
        <f t="shared" si="11"/>
        <v>0</v>
      </c>
      <c r="AC164" s="111">
        <f t="shared" si="11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73">
        <f>IF($K7="障子",T158,IF($K7="外付けブラインド",T164,T152))</f>
        <v>0</v>
      </c>
      <c r="U166" s="73">
        <f>IF($K8="障子",U158,IF($K8="外付けブラインド",U164,U152))</f>
        <v>0</v>
      </c>
      <c r="V166" s="73">
        <f>IF($K9="障子",V158,IF($K9="外付けブラインド",V164,V152))</f>
        <v>0</v>
      </c>
      <c r="W166" s="73">
        <f>IF($K10="障子",W158,IF($K10="外付けブラインド",W164,W152))</f>
        <v>0</v>
      </c>
      <c r="X166" s="73">
        <f>IF($K11="障子",X158,IF($K11="外付けブラインド",X164,X152))</f>
        <v>0</v>
      </c>
      <c r="Y166" s="73">
        <f>IF($K12="障子",Y158,IF($K12="外付けブラインド",Y164,Y152))</f>
        <v>0</v>
      </c>
      <c r="Z166" s="73">
        <f>IF($K13="障子",Z158,IF($K13="外付けブラインド",Z164,Z152))</f>
        <v>0</v>
      </c>
      <c r="AA166" s="73">
        <f>IF($K14="障子",AA158,IF($K14="外付けブラインド",AA164,AA152))</f>
        <v>0</v>
      </c>
      <c r="AB166" s="73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51" t="s">
        <v>846</v>
      </c>
      <c r="H172" t="s">
        <v>7</v>
      </c>
      <c r="J172" s="51" t="s">
        <v>847</v>
      </c>
      <c r="K172" s="51" t="s">
        <v>848</v>
      </c>
      <c r="L172" s="51" t="s">
        <v>849</v>
      </c>
      <c r="M172" s="51" t="s">
        <v>853</v>
      </c>
      <c r="N172" s="51" t="s">
        <v>850</v>
      </c>
      <c r="O172" s="51" t="s">
        <v>851</v>
      </c>
      <c r="P172" s="245" t="s">
        <v>852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P173" s="80" t="s">
        <v>787</v>
      </c>
      <c r="S173" s="118"/>
      <c r="AD173" s="116"/>
      <c r="AE173" s="58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2:41" ht="24" hidden="1" customHeight="1" x14ac:dyDescent="0.15">
      <c r="B174" s="80" t="s">
        <v>788</v>
      </c>
      <c r="C174" s="115">
        <v>2.33</v>
      </c>
      <c r="G174" t="s">
        <v>330</v>
      </c>
      <c r="H174" s="111" t="e">
        <f>VLOOKUP(O23,$B$173:$C$187,2,0)</f>
        <v>#N/A</v>
      </c>
      <c r="P174" s="80" t="s">
        <v>788</v>
      </c>
      <c r="S174" s="118"/>
      <c r="AD174" s="116"/>
      <c r="AE174" s="58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2:41" ht="24" hidden="1" customHeight="1" x14ac:dyDescent="0.15">
      <c r="B175" s="80" t="s">
        <v>794</v>
      </c>
      <c r="C175" s="115">
        <v>2.91</v>
      </c>
      <c r="P175" s="80" t="s">
        <v>794</v>
      </c>
      <c r="AD175" s="116"/>
      <c r="AE175" s="58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2:41" ht="24" hidden="1" customHeight="1" x14ac:dyDescent="0.15">
      <c r="B176" s="80" t="s">
        <v>789</v>
      </c>
      <c r="C176" s="115">
        <v>2.91</v>
      </c>
      <c r="P176" s="80" t="s">
        <v>789</v>
      </c>
      <c r="AD176" s="116"/>
      <c r="AE176" s="58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2:40" ht="24" hidden="1" customHeight="1" x14ac:dyDescent="0.15">
      <c r="B177" s="80" t="s">
        <v>791</v>
      </c>
      <c r="C177" s="115">
        <v>2.33</v>
      </c>
      <c r="P177" s="80" t="s">
        <v>791</v>
      </c>
      <c r="AD177" s="78"/>
      <c r="AE177" s="58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2:40" ht="24" hidden="1" customHeight="1" x14ac:dyDescent="0.15">
      <c r="B178" s="80" t="s">
        <v>795</v>
      </c>
      <c r="C178" s="115">
        <v>1.75</v>
      </c>
      <c r="P178" s="80" t="s">
        <v>795</v>
      </c>
      <c r="AD178" s="78"/>
      <c r="AE178" s="58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2:40" ht="24" hidden="1" customHeight="1" x14ac:dyDescent="0.15">
      <c r="B179" s="80" t="s">
        <v>796</v>
      </c>
      <c r="C179" s="115">
        <v>2.33</v>
      </c>
      <c r="P179" s="80" t="s">
        <v>796</v>
      </c>
      <c r="AD179" s="78"/>
      <c r="AE179" s="58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2:40" ht="24" hidden="1" customHeight="1" x14ac:dyDescent="0.15">
      <c r="B180" s="80" t="s">
        <v>797</v>
      </c>
      <c r="C180" s="115">
        <v>2.91</v>
      </c>
      <c r="P180" s="80" t="s">
        <v>797</v>
      </c>
      <c r="AD180" s="78"/>
      <c r="AE180" s="58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2:40" ht="24" hidden="1" customHeight="1" x14ac:dyDescent="0.15">
      <c r="B181" s="80" t="s">
        <v>798</v>
      </c>
      <c r="C181" s="115">
        <v>2.91</v>
      </c>
      <c r="P181" s="80" t="s">
        <v>798</v>
      </c>
      <c r="AD181" s="78"/>
      <c r="AE181" s="76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2:40" ht="24" hidden="1" customHeight="1" x14ac:dyDescent="0.15">
      <c r="B182" s="80" t="s">
        <v>799</v>
      </c>
      <c r="C182" s="115">
        <v>2.33</v>
      </c>
      <c r="P182" s="80" t="s">
        <v>799</v>
      </c>
      <c r="AD182" s="78"/>
      <c r="AE182" s="58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2:40" ht="24" hidden="1" customHeight="1" x14ac:dyDescent="0.15">
      <c r="B183" s="80" t="s">
        <v>801</v>
      </c>
      <c r="C183" s="115">
        <v>3.49</v>
      </c>
      <c r="P183" s="80" t="s">
        <v>801</v>
      </c>
      <c r="AD183" s="78"/>
      <c r="AE183" s="58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2:40" ht="24" hidden="1" customHeight="1" x14ac:dyDescent="0.15">
      <c r="B184" s="80" t="s">
        <v>803</v>
      </c>
      <c r="C184" s="115">
        <v>3.49</v>
      </c>
      <c r="P184" s="80" t="s">
        <v>803</v>
      </c>
    </row>
    <row r="185" spans="2:40" ht="24" hidden="1" customHeight="1" x14ac:dyDescent="0.15">
      <c r="B185" s="80" t="s">
        <v>805</v>
      </c>
      <c r="C185" s="115">
        <v>4.6500000000000004</v>
      </c>
      <c r="P185" s="80" t="s">
        <v>805</v>
      </c>
    </row>
    <row r="186" spans="2:40" ht="24" hidden="1" customHeight="1" x14ac:dyDescent="0.15">
      <c r="B186" s="80" t="s">
        <v>806</v>
      </c>
      <c r="C186" s="115">
        <v>4.07</v>
      </c>
      <c r="P186" s="80" t="s">
        <v>806</v>
      </c>
    </row>
    <row r="187" spans="2:40" ht="24" hidden="1" customHeight="1" x14ac:dyDescent="0.15">
      <c r="B187" s="80" t="s">
        <v>808</v>
      </c>
      <c r="C187" s="115">
        <v>4.6500000000000004</v>
      </c>
      <c r="P187" s="80" t="s">
        <v>808</v>
      </c>
    </row>
  </sheetData>
  <sheetProtection algorithmName="SHA-512" hashValue="lS0hkaUfRzFApsrkGjpi8ci6xuuDdh8Joa3b1ahNPqX93oSgsJ99ntoQnzITkfh8U7qaK6QS3t521Uzpyz3Okg==" saltValue="7UQqv95GfX4TzyIKhOQZqA==" spinCount="100000" sheet="1" objects="1" scenarios="1" selectLockedCells="1"/>
  <mergeCells count="242"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</mergeCells>
  <phoneticPr fontId="2"/>
  <conditionalFormatting sqref="U17:V17">
    <cfRule type="expression" dxfId="29" priority="15" stopIfTrue="1">
      <formula>$U$17=0</formula>
    </cfRule>
  </conditionalFormatting>
  <conditionalFormatting sqref="W17:X17">
    <cfRule type="expression" dxfId="28" priority="14" stopIfTrue="1">
      <formula>$W$17=0</formula>
    </cfRule>
  </conditionalFormatting>
  <conditionalFormatting sqref="Y17:Z17">
    <cfRule type="expression" dxfId="27" priority="13" stopIfTrue="1">
      <formula>$Y$17=0</formula>
    </cfRule>
  </conditionalFormatting>
  <conditionalFormatting sqref="U24:Z24">
    <cfRule type="expression" dxfId="26" priority="12" stopIfTrue="1">
      <formula>$U$24:$Z$24=0</formula>
    </cfRule>
  </conditionalFormatting>
  <conditionalFormatting sqref="U32:V32">
    <cfRule type="expression" dxfId="25" priority="11" stopIfTrue="1">
      <formula>$U$32:$V$32=0</formula>
    </cfRule>
  </conditionalFormatting>
  <conditionalFormatting sqref="X35:Y35">
    <cfRule type="expression" dxfId="24" priority="10" stopIfTrue="1">
      <formula>$X$35=0</formula>
    </cfRule>
  </conditionalFormatting>
  <conditionalFormatting sqref="P35:Q35">
    <cfRule type="expression" dxfId="23" priority="9" stopIfTrue="1">
      <formula>$P$35=0</formula>
    </cfRule>
  </conditionalFormatting>
  <conditionalFormatting sqref="T35:U35">
    <cfRule type="expression" dxfId="22" priority="8" stopIfTrue="1">
      <formula>$T$35=0</formula>
    </cfRule>
  </conditionalFormatting>
  <conditionalFormatting sqref="K35:M35">
    <cfRule type="expression" dxfId="21" priority="7" stopIfTrue="1">
      <formula>$K$35=0</formula>
    </cfRule>
  </conditionalFormatting>
  <conditionalFormatting sqref="W7:X7">
    <cfRule type="expression" dxfId="20" priority="5" stopIfTrue="1">
      <formula>#VALUE!</formula>
    </cfRule>
    <cfRule type="expression" dxfId="19" priority="6" stopIfTrue="1">
      <formula>#VALUE!</formula>
    </cfRule>
  </conditionalFormatting>
  <conditionalFormatting sqref="W16:X16">
    <cfRule type="expression" dxfId="18" priority="4" stopIfTrue="1">
      <formula>#VALUE!</formula>
    </cfRule>
  </conditionalFormatting>
  <conditionalFormatting sqref="O7:T16">
    <cfRule type="expression" dxfId="17" priority="3" stopIfTrue="1">
      <formula>$AF7=TRUE</formula>
    </cfRule>
  </conditionalFormatting>
  <conditionalFormatting sqref="W32:X32">
    <cfRule type="expression" dxfId="16" priority="2" stopIfTrue="1">
      <formula>$W$32:$X$32=0</formula>
    </cfRule>
  </conditionalFormatting>
  <conditionalFormatting sqref="Y32:Z32">
    <cfRule type="expression" dxfId="15" priority="1" stopIfTrue="1">
      <formula>$Y$32:$Z$32=0</formula>
    </cfRule>
  </conditionalFormatting>
  <dataValidations count="6">
    <dataValidation type="list" allowBlank="1" showInputMessage="1" showErrorMessage="1" sqref="S22:T23" xr:uid="{00000000-0002-0000-0B00-000000000000}">
      <formula1>"あり,なし"</formula1>
    </dataValidation>
    <dataValidation type="list" allowBlank="1" showInputMessage="1" showErrorMessage="1" sqref="K7:L16" xr:uid="{00000000-0002-0000-0B00-000001000000}">
      <formula1>"　,雨戸,ｼｬｯﾀｰ,障子,風除室,外付けブラインド"</formula1>
    </dataValidation>
    <dataValidation type="list" allowBlank="1" showInputMessage="1" showErrorMessage="1" sqref="I29:I31" xr:uid="{00000000-0002-0000-0B00-000002000000}">
      <formula1>"W-1,W-2,W-3"</formula1>
    </dataValidation>
    <dataValidation type="list" allowBlank="1" showInputMessage="1" showErrorMessage="1" sqref="G7:H16" xr:uid="{00000000-0002-0000-0B00-000003000000}">
      <formula1>建具の仕様_北西</formula1>
    </dataValidation>
    <dataValidation type="list" allowBlank="1" showInputMessage="1" showErrorMessage="1" sqref="I7:J16" xr:uid="{00000000-0002-0000-0B00-000004000000}">
      <formula1>INDIRECT(G7)</formula1>
    </dataValidation>
    <dataValidation type="list" allowBlank="1" showInputMessage="1" showErrorMessage="1" sqref="O22:R23" xr:uid="{00000000-0002-0000-0B00-000005000000}">
      <formula1>建具の構成_北西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9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0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1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2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3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4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5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6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2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3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4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O162"/>
  <sheetViews>
    <sheetView view="pageBreakPreview" zoomScaleNormal="130" zoomScaleSheetLayoutView="100" workbookViewId="0">
      <selection activeCell="A6" sqref="A6:B6"/>
    </sheetView>
  </sheetViews>
  <sheetFormatPr defaultRowHeight="13.5" x14ac:dyDescent="0.15"/>
  <cols>
    <col min="1" max="2" width="3.875" customWidth="1"/>
    <col min="3" max="6" width="5.125" customWidth="1"/>
    <col min="7" max="10" width="6.125" customWidth="1"/>
    <col min="11" max="18" width="5.25" customWidth="1"/>
    <col min="19" max="26" width="3.625" customWidth="1"/>
    <col min="27" max="28" width="11" hidden="1" customWidth="1"/>
    <col min="29" max="29" width="3.625" hidden="1" customWidth="1"/>
    <col min="30" max="31" width="10.625" hidden="1" customWidth="1"/>
    <col min="32" max="50" width="3.625" customWidth="1"/>
  </cols>
  <sheetData>
    <row r="1" spans="1:31" ht="30" customHeight="1" x14ac:dyDescent="0.15">
      <c r="A1" s="492" t="s">
        <v>132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85"/>
      <c r="T1" s="85"/>
      <c r="U1" s="85"/>
      <c r="V1" s="85"/>
      <c r="W1" s="85"/>
      <c r="X1" s="85"/>
      <c r="Y1" s="85"/>
      <c r="Z1" s="85"/>
    </row>
    <row r="2" spans="1:31" ht="20.100000000000001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31" ht="20.100000000000001" customHeight="1" thickBot="1" x14ac:dyDescent="0.2">
      <c r="A3" s="81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4"/>
      <c r="T3" s="44"/>
      <c r="U3" s="44"/>
      <c r="V3" s="44"/>
      <c r="W3" s="6"/>
      <c r="X3" s="6"/>
      <c r="Y3" s="6"/>
      <c r="Z3" s="6"/>
    </row>
    <row r="4" spans="1:31" ht="20.100000000000001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631" t="s">
        <v>263</v>
      </c>
      <c r="H4" s="632"/>
      <c r="I4" s="519" t="s">
        <v>264</v>
      </c>
      <c r="J4" s="520"/>
      <c r="K4" s="380" t="s">
        <v>10</v>
      </c>
      <c r="L4" s="381"/>
      <c r="M4" s="642" t="s">
        <v>65</v>
      </c>
      <c r="N4" s="642"/>
      <c r="O4" s="642" t="s">
        <v>64</v>
      </c>
      <c r="P4" s="642"/>
      <c r="Q4" s="381" t="s">
        <v>13</v>
      </c>
      <c r="R4" s="390"/>
      <c r="S4" s="45"/>
      <c r="T4" s="44"/>
      <c r="U4" s="44"/>
      <c r="V4" s="44"/>
      <c r="W4" s="29"/>
      <c r="X4" s="29"/>
      <c r="Y4" s="29"/>
      <c r="Z4" s="29"/>
      <c r="AA4" s="43" t="s">
        <v>82</v>
      </c>
      <c r="AB4" s="43"/>
      <c r="AD4" s="2" t="s">
        <v>14</v>
      </c>
      <c r="AE4" s="2"/>
    </row>
    <row r="5" spans="1:31" ht="20.100000000000001" customHeight="1" thickBot="1" x14ac:dyDescent="0.2">
      <c r="A5" s="502"/>
      <c r="B5" s="382"/>
      <c r="C5" s="639" t="s">
        <v>9</v>
      </c>
      <c r="D5" s="640"/>
      <c r="E5" s="641" t="s">
        <v>8</v>
      </c>
      <c r="F5" s="382"/>
      <c r="G5" s="633"/>
      <c r="H5" s="634"/>
      <c r="I5" s="507"/>
      <c r="J5" s="523"/>
      <c r="K5" s="382"/>
      <c r="L5" s="382"/>
      <c r="M5" s="643"/>
      <c r="N5" s="643"/>
      <c r="O5" s="643"/>
      <c r="P5" s="643"/>
      <c r="Q5" s="382"/>
      <c r="R5" s="391"/>
      <c r="S5" s="46"/>
      <c r="T5" s="47"/>
      <c r="U5" s="47"/>
      <c r="V5" s="47"/>
      <c r="W5" s="29"/>
      <c r="X5" s="29"/>
      <c r="Y5" s="29"/>
      <c r="Z5" s="29"/>
      <c r="AA5" s="43" t="s">
        <v>80</v>
      </c>
      <c r="AB5" s="43" t="s">
        <v>78</v>
      </c>
      <c r="AD5" s="2" t="s">
        <v>4</v>
      </c>
      <c r="AE5" s="2" t="s">
        <v>15</v>
      </c>
    </row>
    <row r="6" spans="1:31" ht="40.5" customHeight="1" x14ac:dyDescent="0.15">
      <c r="A6" s="385"/>
      <c r="B6" s="626"/>
      <c r="C6" s="475"/>
      <c r="D6" s="476"/>
      <c r="E6" s="476"/>
      <c r="F6" s="477"/>
      <c r="G6" s="629"/>
      <c r="H6" s="630"/>
      <c r="I6" s="629"/>
      <c r="J6" s="630"/>
      <c r="K6" s="473"/>
      <c r="L6" s="473"/>
      <c r="M6" s="648" t="str">
        <f>IF(C6="","",C6*E6*S161*AD6)</f>
        <v/>
      </c>
      <c r="N6" s="648"/>
      <c r="O6" s="648" t="str">
        <f>IF(C6="","",IF(共通条件・結果!$Z$6="８地域","-",C6*E6*S161*AE6))</f>
        <v/>
      </c>
      <c r="P6" s="648"/>
      <c r="Q6" s="648" t="str">
        <f>IF(C6="","",C6*E6*AA6)</f>
        <v/>
      </c>
      <c r="R6" s="649"/>
      <c r="S6" s="96"/>
      <c r="T6" s="95"/>
      <c r="U6" s="95"/>
      <c r="V6" s="95"/>
      <c r="W6" s="29"/>
      <c r="X6" s="29"/>
      <c r="Y6" s="29"/>
      <c r="Z6" s="29"/>
      <c r="AA6" s="43">
        <f>IF(共通条件・結果!$Z$6="８地域",S141,IF(AB6="FALSE",S141,0.5*S141+0.5*(1/((1/S141)+AB6))))</f>
        <v>0</v>
      </c>
      <c r="AB6" s="42" t="str">
        <f>IF(C6="","FALSE",IF(K6="雨戸",0.1,IF(K6="ｼｬｯﾀｰ",0.1,IF(K6="障子",0.18))))</f>
        <v>FALSE</v>
      </c>
      <c r="AD6" s="43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6" s="43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7" spans="1:31" ht="40.5" customHeight="1" x14ac:dyDescent="0.15">
      <c r="A7" s="419"/>
      <c r="B7" s="625"/>
      <c r="C7" s="485"/>
      <c r="D7" s="442"/>
      <c r="E7" s="442"/>
      <c r="F7" s="443"/>
      <c r="G7" s="627"/>
      <c r="H7" s="628"/>
      <c r="I7" s="627"/>
      <c r="J7" s="628"/>
      <c r="K7" s="446"/>
      <c r="L7" s="446"/>
      <c r="M7" s="599" t="str">
        <f>IF(C7="","",C7*E7*T161*AD7)</f>
        <v/>
      </c>
      <c r="N7" s="599"/>
      <c r="O7" s="599" t="str">
        <f>IF(C7="","",IF(共通条件・結果!$Z$6="８地域","-",C7*E7*T161*AE7))</f>
        <v/>
      </c>
      <c r="P7" s="599"/>
      <c r="Q7" s="599" t="str">
        <f>IF(C7="","",C7*E7*AA7)</f>
        <v/>
      </c>
      <c r="R7" s="647"/>
      <c r="S7" s="97"/>
      <c r="T7" s="49"/>
      <c r="U7" s="49"/>
      <c r="V7" s="49"/>
      <c r="W7" s="29"/>
      <c r="X7" s="29"/>
      <c r="Y7" s="29"/>
      <c r="Z7" s="29"/>
      <c r="AA7" s="43">
        <f>IF(共通条件・結果!$Z$6="８地域",T141,IF(AB7="FALSE",T141,0.5*T141+0.5*(1/((1/T141)+AB7))))</f>
        <v>0</v>
      </c>
      <c r="AB7" s="42" t="str">
        <f>IF(C7="","FALSE",IF(K7="雨戸",0.1,IF(K7="ｼｬｯﾀｰ",0.1,IF(K7="障子",0.18))))</f>
        <v>FALSE</v>
      </c>
      <c r="AD7" s="43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7" s="43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8" spans="1:31" ht="40.5" customHeight="1" x14ac:dyDescent="0.15">
      <c r="A8" s="419"/>
      <c r="B8" s="625"/>
      <c r="C8" s="485"/>
      <c r="D8" s="442"/>
      <c r="E8" s="442"/>
      <c r="F8" s="443"/>
      <c r="G8" s="627"/>
      <c r="H8" s="628"/>
      <c r="I8" s="627"/>
      <c r="J8" s="628"/>
      <c r="K8" s="446"/>
      <c r="L8" s="446"/>
      <c r="M8" s="599" t="str">
        <f>IF(C8="","",C8*E8*U161*AD8)</f>
        <v/>
      </c>
      <c r="N8" s="599"/>
      <c r="O8" s="599" t="str">
        <f>IF(C8="","",IF(共通条件・結果!$Z$6="８地域","-",C8*E8*U161*AE8))</f>
        <v/>
      </c>
      <c r="P8" s="599"/>
      <c r="Q8" s="599" t="str">
        <f>IF(C8="","",C8*E8*AA8)</f>
        <v/>
      </c>
      <c r="R8" s="647"/>
      <c r="S8" s="97"/>
      <c r="T8" s="49"/>
      <c r="U8" s="49"/>
      <c r="V8" s="49"/>
      <c r="W8" s="29"/>
      <c r="X8" s="29"/>
      <c r="Y8" s="29"/>
      <c r="Z8" s="29"/>
      <c r="AA8" s="43">
        <f>IF(共通条件・結果!$Z$6="８地域",U141,IF(AB8="FALSE",U141,0.5*U141+0.5*(1/((1/U141)+AB8))))</f>
        <v>0</v>
      </c>
      <c r="AB8" s="42" t="str">
        <f>IF(C8="","FALSE",IF(K8="雨戸",0.1,IF(K8="ｼｬｯﾀｰ",0.1,IF(K8="障子",0.18))))</f>
        <v>FALSE</v>
      </c>
      <c r="AD8" s="43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8" s="43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9" spans="1:31" ht="40.5" customHeight="1" x14ac:dyDescent="0.15">
      <c r="A9" s="419"/>
      <c r="B9" s="625"/>
      <c r="C9" s="485"/>
      <c r="D9" s="442"/>
      <c r="E9" s="442"/>
      <c r="F9" s="443"/>
      <c r="G9" s="627"/>
      <c r="H9" s="628"/>
      <c r="I9" s="627"/>
      <c r="J9" s="628"/>
      <c r="K9" s="446"/>
      <c r="L9" s="446"/>
      <c r="M9" s="599" t="str">
        <f>IF(C9="","",C9*E9*V161*AD9)</f>
        <v/>
      </c>
      <c r="N9" s="599"/>
      <c r="O9" s="599" t="str">
        <f>IF(C9="","",IF(共通条件・結果!$Z$6="８地域","-",C9*E9*V161*AE9))</f>
        <v/>
      </c>
      <c r="P9" s="599"/>
      <c r="Q9" s="599" t="str">
        <f>IF(C9="","",C9*E9*AA9)</f>
        <v/>
      </c>
      <c r="R9" s="647"/>
      <c r="S9" s="96"/>
      <c r="T9" s="95"/>
      <c r="U9" s="95"/>
      <c r="V9" s="95"/>
      <c r="W9" s="29"/>
      <c r="X9" s="29"/>
      <c r="Y9" s="29"/>
      <c r="Z9" s="29"/>
      <c r="AA9" s="43">
        <f>IF(共通条件・結果!$Z$6="８地域",V141,IF(AB9="FALSE",V141,0.5*V141+0.5*(1/((1/V141)+AB9))))</f>
        <v>0</v>
      </c>
      <c r="AB9" s="42" t="str">
        <f>IF(C9="","FALSE",IF(K9="雨戸",0.1,IF(K9="ｼｬｯﾀｰ",0.1,IF(K9="障子",0.18))))</f>
        <v>FALSE</v>
      </c>
      <c r="AD9" s="43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9" s="43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10" spans="1:31" ht="40.5" customHeight="1" thickBot="1" x14ac:dyDescent="0.2">
      <c r="A10" s="405"/>
      <c r="B10" s="646"/>
      <c r="C10" s="485"/>
      <c r="D10" s="442"/>
      <c r="E10" s="442"/>
      <c r="F10" s="443"/>
      <c r="G10" s="553"/>
      <c r="H10" s="554"/>
      <c r="I10" s="553"/>
      <c r="J10" s="554"/>
      <c r="K10" s="473"/>
      <c r="L10" s="473"/>
      <c r="M10" s="648" t="str">
        <f>IF(C10="","",C10*E10*W161*AD10)</f>
        <v/>
      </c>
      <c r="N10" s="648"/>
      <c r="O10" s="599" t="str">
        <f>IF(C10="","",IF(共通条件・結果!$Z$6="８地域","-",C10*E10*W161*AE10))</f>
        <v/>
      </c>
      <c r="P10" s="599"/>
      <c r="Q10" s="599" t="str">
        <f>IF(C10="","",C10*E10*AA10)</f>
        <v/>
      </c>
      <c r="R10" s="647"/>
      <c r="S10" s="96"/>
      <c r="T10" s="95"/>
      <c r="U10" s="95"/>
      <c r="V10" s="95"/>
      <c r="W10" s="29"/>
      <c r="X10" s="29"/>
      <c r="Y10" s="29"/>
      <c r="Z10" s="29"/>
      <c r="AA10" s="43">
        <f>IF(共通条件・結果!$Z$6="８地域",W141,IF(AB10="FALSE",W141,0.5*W141+0.5*(1/((1/W141)+AB10))))</f>
        <v>0</v>
      </c>
      <c r="AB10" s="42" t="str">
        <f>IF(C10="","FALSE",IF(K10="雨戸",0.1,IF(K10="ｼｬｯﾀｰ",0.1,IF(K10="障子",0.18))))</f>
        <v>FALSE</v>
      </c>
      <c r="AD10" s="43" t="b">
        <f>IF(共通条件・結果!$Z$6="１地域","0.93",IF(共通条件・結果!$Z$6="２地域","0.93",IF(共通条件・結果!$Z$6="３地域","0.93",IF(共通条件・結果!$Z$6="４地域","0.94",IF(共通条件・結果!$Z$6="５地域","0.93",IF(共通条件・結果!$Z$6="６地域","0.94",IF(共通条件・結果!$Z$6="７地域","0.94",IF(共通条件・結果!$Z$6="８地域","0.93"))))))))</f>
        <v>0</v>
      </c>
      <c r="AE10" s="43" t="b">
        <f>IF(共通条件・結果!$Z$6="１地域","0.80",IF(共通条件・結果!$Z$6="２地域","0.81",IF(共通条件・結果!$Z$6="３地域","0.81",IF(共通条件・結果!$Z$6="４地域","0.82",IF(共通条件・結果!$Z$6="５地域","0.80",IF(共通条件・結果!$Z$6="６地域","0.80",IF(共通条件・結果!$Z$6="７地域","0.80",IF(共通条件・結果!$Z$6="８地域","-"))))))))</f>
        <v>0</v>
      </c>
    </row>
    <row r="11" spans="1:31" ht="20.100000000000001" customHeight="1" thickBot="1" x14ac:dyDescent="0.2">
      <c r="A11" s="602" t="s">
        <v>134</v>
      </c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4"/>
      <c r="M11" s="654">
        <f>SUM(M6:N10)</f>
        <v>0</v>
      </c>
      <c r="N11" s="654"/>
      <c r="O11" s="654">
        <f>SUM(O6:P10)</f>
        <v>0</v>
      </c>
      <c r="P11" s="654"/>
      <c r="Q11" s="654">
        <f>SUM(Q6:R10)</f>
        <v>0</v>
      </c>
      <c r="R11" s="655"/>
      <c r="S11" s="98"/>
      <c r="T11" s="58"/>
      <c r="U11" s="58"/>
      <c r="V11" s="58"/>
      <c r="W11" s="29"/>
      <c r="X11" s="29"/>
      <c r="Y11" s="29"/>
      <c r="Z11" s="29"/>
      <c r="AA11" s="43"/>
      <c r="AB11" s="42"/>
    </row>
    <row r="12" spans="1:31" ht="20.100000000000001" customHeight="1" x14ac:dyDescent="0.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2"/>
      <c r="X12" s="2"/>
      <c r="Y12" s="2"/>
      <c r="Z12" s="2"/>
      <c r="AA12" s="43"/>
      <c r="AB12" s="42"/>
    </row>
    <row r="13" spans="1:31" ht="20.100000000000001" customHeight="1" thickBot="1" x14ac:dyDescent="0.2">
      <c r="A13" s="99" t="s">
        <v>55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2"/>
      <c r="X13" s="2"/>
      <c r="Y13" s="2"/>
      <c r="Z13" s="2"/>
    </row>
    <row r="14" spans="1:31" ht="20.100000000000001" customHeight="1" x14ac:dyDescent="0.15">
      <c r="A14" s="555" t="s">
        <v>0</v>
      </c>
      <c r="B14" s="556"/>
      <c r="C14" s="380" t="s">
        <v>126</v>
      </c>
      <c r="D14" s="381"/>
      <c r="E14" s="380" t="s">
        <v>56</v>
      </c>
      <c r="F14" s="381"/>
      <c r="G14" s="380" t="s">
        <v>397</v>
      </c>
      <c r="H14" s="381"/>
      <c r="I14" s="380" t="s">
        <v>52</v>
      </c>
      <c r="J14" s="381"/>
      <c r="K14" s="644" t="s">
        <v>7</v>
      </c>
      <c r="L14" s="556"/>
      <c r="M14" s="519" t="s">
        <v>65</v>
      </c>
      <c r="N14" s="656"/>
      <c r="O14" s="519" t="s">
        <v>64</v>
      </c>
      <c r="P14" s="656"/>
      <c r="Q14" s="381" t="s">
        <v>13</v>
      </c>
      <c r="R14" s="390"/>
    </row>
    <row r="15" spans="1:31" ht="20.100000000000001" customHeight="1" thickBot="1" x14ac:dyDescent="0.2">
      <c r="A15" s="557"/>
      <c r="B15" s="558"/>
      <c r="C15" s="382"/>
      <c r="D15" s="382"/>
      <c r="E15" s="382"/>
      <c r="F15" s="382"/>
      <c r="G15" s="382"/>
      <c r="H15" s="382"/>
      <c r="I15" s="382"/>
      <c r="J15" s="382"/>
      <c r="K15" s="645"/>
      <c r="L15" s="558"/>
      <c r="M15" s="434"/>
      <c r="N15" s="433"/>
      <c r="O15" s="434"/>
      <c r="P15" s="433"/>
      <c r="Q15" s="382"/>
      <c r="R15" s="391"/>
      <c r="AA15" s="1" t="s">
        <v>86</v>
      </c>
    </row>
    <row r="16" spans="1:31" ht="20.100000000000001" customHeight="1" x14ac:dyDescent="0.15">
      <c r="A16" s="385"/>
      <c r="B16" s="386"/>
      <c r="C16" s="669" t="str">
        <f>IF(A16="","",IF(OR(A16="R-1",A16="R-2",A16="R-3"),"屋根",IF(OR(A16="C-1",A16="C-2",A16="C-3"),"天井",IF(OR(A16="F-1",A16="F-2",A16="F-3"),"外気床",IF(OR(A16="AF-1",A16="AF-2",A16="AF-3"),"その他床")))))</f>
        <v/>
      </c>
      <c r="D16" s="670"/>
      <c r="E16" s="635"/>
      <c r="F16" s="636"/>
      <c r="G16" s="635"/>
      <c r="H16" s="636"/>
      <c r="I16" s="637" t="str">
        <f>IF(E16="","",E16-G16)</f>
        <v/>
      </c>
      <c r="J16" s="638"/>
      <c r="K16" s="623" t="str">
        <f>IF(A16="","",VLOOKUP($A16,断熱仕様一覧!$B$10:$F$21,5,0))</f>
        <v/>
      </c>
      <c r="L16" s="624"/>
      <c r="M16" s="652" t="str">
        <f>IF($C16="","",IF(OR($C16="外気床",$C16="その他床"),0,IF(OR($C16="屋根",$C16="天井"),I16*K16*0.034)))</f>
        <v/>
      </c>
      <c r="N16" s="653"/>
      <c r="O16" s="657" t="str">
        <f>IF(C16="","",IF(共通条件・結果!$Z$6="８（Ⅵ）","-",IF($C16="　","",IF(OR($C16="外気床",$C16="その他床"),0,IF(OR($C16="屋根",$C16="天井"),I16*K16*0.034)))))</f>
        <v/>
      </c>
      <c r="P16" s="658"/>
      <c r="Q16" s="650" t="str">
        <f t="shared" ref="Q16:Q24" si="0">IF(E16="","",I16*K16*AA16)</f>
        <v/>
      </c>
      <c r="R16" s="651"/>
      <c r="AA16" s="48">
        <f t="shared" ref="AA16:AA21" si="1">IF(C16="　","FALSE",IF(C16="その他床",0.7,1))</f>
        <v>1</v>
      </c>
    </row>
    <row r="17" spans="1:27" ht="20.100000000000001" customHeight="1" x14ac:dyDescent="0.15">
      <c r="A17" s="419"/>
      <c r="B17" s="420"/>
      <c r="C17" s="559" t="str">
        <f t="shared" ref="C17:C24" si="2">IF(A17="","",IF(OR(A17="R-1",A17="R-2",A17="R-3"),"屋根",IF(OR(A17="C-1",A17="C-2",A17="C-3"),"天井",IF(OR(A17="F-1",A17="F-2",A17="F-3"),"外気床",IF(OR(A17="AF-1",A17="AF-2",A17="AF-3"),"その他床")))))</f>
        <v/>
      </c>
      <c r="D17" s="560"/>
      <c r="E17" s="561"/>
      <c r="F17" s="562"/>
      <c r="G17" s="561"/>
      <c r="H17" s="562"/>
      <c r="I17" s="583" t="str">
        <f t="shared" ref="I17:I24" si="3">IF(E17="","",E17-G17)</f>
        <v/>
      </c>
      <c r="J17" s="584"/>
      <c r="K17" s="563" t="str">
        <f>IF(A17="","",VLOOKUP($A17,断熱仕様一覧!$B$10:$F$21,5,0))</f>
        <v/>
      </c>
      <c r="L17" s="564"/>
      <c r="M17" s="571" t="str">
        <f t="shared" ref="M17:M24" si="4">IF($C17="","",IF(OR($C17="外気床",$C17="その他床"),0,IF(OR($C17="屋根",$C17="天井"),I17*K17*0.034)))</f>
        <v/>
      </c>
      <c r="N17" s="572"/>
      <c r="O17" s="571" t="str">
        <f>IF(C17="","",IF(共通条件・結果!$Z$6="８（Ⅵ）","-",IF($C17="　","",IF(OR($C17="外気床",$C17="その他床"),0,IF(OR($C17="屋根",$C17="天井"),I17*K17*0.034)))))</f>
        <v/>
      </c>
      <c r="P17" s="572"/>
      <c r="Q17" s="569" t="str">
        <f t="shared" si="0"/>
        <v/>
      </c>
      <c r="R17" s="570"/>
      <c r="AA17" s="48">
        <f t="shared" si="1"/>
        <v>1</v>
      </c>
    </row>
    <row r="18" spans="1:27" ht="20.100000000000001" customHeight="1" x14ac:dyDescent="0.15">
      <c r="A18" s="663"/>
      <c r="B18" s="664"/>
      <c r="C18" s="665" t="str">
        <f t="shared" si="2"/>
        <v/>
      </c>
      <c r="D18" s="666"/>
      <c r="E18" s="667"/>
      <c r="F18" s="668"/>
      <c r="G18" s="667"/>
      <c r="H18" s="668"/>
      <c r="I18" s="659" t="str">
        <f t="shared" si="3"/>
        <v/>
      </c>
      <c r="J18" s="660"/>
      <c r="K18" s="567" t="str">
        <f>IF(A18="","",VLOOKUP($A18,断熱仕様一覧!$B$10:$F$21,5,0))</f>
        <v/>
      </c>
      <c r="L18" s="568"/>
      <c r="M18" s="573" t="str">
        <f t="shared" si="4"/>
        <v/>
      </c>
      <c r="N18" s="574"/>
      <c r="O18" s="573" t="str">
        <f>IF(C18="","",IF(共通条件・結果!$Z$6="８（Ⅵ）","-",IF($C18="　","",IF(OR($C18="外気床",$C18="その他床"),0,IF(OR($C18="屋根",$C18="天井"),I18*K18*0.034)))))</f>
        <v/>
      </c>
      <c r="P18" s="574"/>
      <c r="Q18" s="616" t="str">
        <f t="shared" si="0"/>
        <v/>
      </c>
      <c r="R18" s="617"/>
      <c r="AA18" s="48">
        <f t="shared" si="1"/>
        <v>1</v>
      </c>
    </row>
    <row r="19" spans="1:27" ht="20.100000000000001" customHeight="1" x14ac:dyDescent="0.15">
      <c r="A19" s="419"/>
      <c r="B19" s="420"/>
      <c r="C19" s="559" t="str">
        <f t="shared" si="2"/>
        <v/>
      </c>
      <c r="D19" s="560"/>
      <c r="E19" s="561"/>
      <c r="F19" s="562"/>
      <c r="G19" s="561"/>
      <c r="H19" s="562"/>
      <c r="I19" s="583" t="str">
        <f t="shared" si="3"/>
        <v/>
      </c>
      <c r="J19" s="584"/>
      <c r="K19" s="563" t="str">
        <f>IF(A19="","",VLOOKUP($A19,断熱仕様一覧!$B$10:$F$21,5,0))</f>
        <v/>
      </c>
      <c r="L19" s="564"/>
      <c r="M19" s="571" t="str">
        <f t="shared" si="4"/>
        <v/>
      </c>
      <c r="N19" s="572"/>
      <c r="O19" s="571" t="str">
        <f>IF(C19="","",IF(共通条件・結果!$Z$6="８（Ⅵ）","-",IF($C19="　","",IF(OR($C19="外気床",$C19="その他床"),0,IF(OR($C19="屋根",$C19="天井"),I19*K19*0.034)))))</f>
        <v/>
      </c>
      <c r="P19" s="572"/>
      <c r="Q19" s="569" t="str">
        <f t="shared" si="0"/>
        <v/>
      </c>
      <c r="R19" s="570"/>
      <c r="AA19" s="48">
        <f t="shared" si="1"/>
        <v>1</v>
      </c>
    </row>
    <row r="20" spans="1:27" ht="20.100000000000001" customHeight="1" x14ac:dyDescent="0.15">
      <c r="A20" s="419"/>
      <c r="B20" s="420"/>
      <c r="C20" s="559" t="str">
        <f t="shared" si="2"/>
        <v/>
      </c>
      <c r="D20" s="560"/>
      <c r="E20" s="561"/>
      <c r="F20" s="562"/>
      <c r="G20" s="561"/>
      <c r="H20" s="562"/>
      <c r="I20" s="583" t="str">
        <f t="shared" si="3"/>
        <v/>
      </c>
      <c r="J20" s="584"/>
      <c r="K20" s="563" t="str">
        <f>IF(A20="","",VLOOKUP($A20,断熱仕様一覧!$B$10:$F$21,5,0))</f>
        <v/>
      </c>
      <c r="L20" s="564"/>
      <c r="M20" s="571" t="str">
        <f t="shared" si="4"/>
        <v/>
      </c>
      <c r="N20" s="572"/>
      <c r="O20" s="571" t="str">
        <f>IF(C20="","",IF(共通条件・結果!$Z$6="８（Ⅵ）","-",IF($C20="　","",IF(OR($C20="外気床",$C20="その他床"),0,IF(OR($C20="屋根",$C20="天井"),I20*K20*0.034)))))</f>
        <v/>
      </c>
      <c r="P20" s="572"/>
      <c r="Q20" s="569" t="str">
        <f t="shared" si="0"/>
        <v/>
      </c>
      <c r="R20" s="570"/>
      <c r="AA20" s="48">
        <f t="shared" si="1"/>
        <v>1</v>
      </c>
    </row>
    <row r="21" spans="1:27" ht="20.100000000000001" customHeight="1" x14ac:dyDescent="0.15">
      <c r="A21" s="419"/>
      <c r="B21" s="420"/>
      <c r="C21" s="559" t="str">
        <f t="shared" si="2"/>
        <v/>
      </c>
      <c r="D21" s="560"/>
      <c r="E21" s="561"/>
      <c r="F21" s="562"/>
      <c r="G21" s="561"/>
      <c r="H21" s="562"/>
      <c r="I21" s="583" t="str">
        <f t="shared" si="3"/>
        <v/>
      </c>
      <c r="J21" s="584"/>
      <c r="K21" s="563" t="str">
        <f>IF(A21="","",VLOOKUP($A21,断熱仕様一覧!$B$10:$F$21,5,0))</f>
        <v/>
      </c>
      <c r="L21" s="564"/>
      <c r="M21" s="571" t="str">
        <f t="shared" si="4"/>
        <v/>
      </c>
      <c r="N21" s="572"/>
      <c r="O21" s="571" t="str">
        <f>IF(C21="","",IF(共通条件・結果!$Z$6="８（Ⅵ）","-",IF($C21="　","",IF(OR($C21="外気床",$C21="その他床"),0,IF(OR($C21="屋根",$C21="天井"),I21*K21*0.034)))))</f>
        <v/>
      </c>
      <c r="P21" s="572"/>
      <c r="Q21" s="569" t="str">
        <f t="shared" si="0"/>
        <v/>
      </c>
      <c r="R21" s="570"/>
      <c r="AA21" s="48">
        <f t="shared" si="1"/>
        <v>1</v>
      </c>
    </row>
    <row r="22" spans="1:27" ht="20.100000000000001" customHeight="1" x14ac:dyDescent="0.15">
      <c r="A22" s="661"/>
      <c r="B22" s="662"/>
      <c r="C22" s="565" t="str">
        <f t="shared" si="2"/>
        <v/>
      </c>
      <c r="D22" s="566"/>
      <c r="E22" s="589"/>
      <c r="F22" s="590"/>
      <c r="G22" s="589"/>
      <c r="H22" s="590"/>
      <c r="I22" s="585" t="str">
        <f t="shared" si="3"/>
        <v/>
      </c>
      <c r="J22" s="586"/>
      <c r="K22" s="587" t="str">
        <f>IF(A22="","",VLOOKUP($A22,断熱仕様一覧!$B$10:$F$21,5,0))</f>
        <v/>
      </c>
      <c r="L22" s="588"/>
      <c r="M22" s="621" t="str">
        <f t="shared" si="4"/>
        <v/>
      </c>
      <c r="N22" s="622"/>
      <c r="O22" s="618" t="str">
        <f>IF(C22="","",IF(共通条件・結果!$Z$6="８（Ⅵ）","-",IF($C22="　","",IF(OR($C22="外気床",$C22="その他床"),0,IF(OR($C22="屋根",$C22="天井"),I22*K22*0.034)))))</f>
        <v/>
      </c>
      <c r="P22" s="619"/>
      <c r="Q22" s="614" t="str">
        <f t="shared" si="0"/>
        <v/>
      </c>
      <c r="R22" s="615"/>
      <c r="AA22" s="48">
        <f>IF(C22="　","FALSE",IF(C22="その他床",0.7,1))</f>
        <v>1</v>
      </c>
    </row>
    <row r="23" spans="1:27" ht="20.100000000000001" customHeight="1" x14ac:dyDescent="0.15">
      <c r="A23" s="419"/>
      <c r="B23" s="420"/>
      <c r="C23" s="559" t="str">
        <f t="shared" si="2"/>
        <v/>
      </c>
      <c r="D23" s="560"/>
      <c r="E23" s="561"/>
      <c r="F23" s="562"/>
      <c r="G23" s="561"/>
      <c r="H23" s="562"/>
      <c r="I23" s="583" t="str">
        <f>IF(E23="","",E23-G23)</f>
        <v/>
      </c>
      <c r="J23" s="584"/>
      <c r="K23" s="563" t="str">
        <f>IF(A23="","",VLOOKUP($A23,断熱仕様一覧!$B$10:$F$21,5,0))</f>
        <v/>
      </c>
      <c r="L23" s="564"/>
      <c r="M23" s="571" t="str">
        <f t="shared" si="4"/>
        <v/>
      </c>
      <c r="N23" s="572"/>
      <c r="O23" s="618" t="str">
        <f>IF(C23="","",IF(共通条件・結果!$Z$6="８（Ⅵ）","-",IF($C23="　","",IF(OR($C23="外気床",$C23="その他床"),0,IF(OR($C23="屋根",$C23="天井"),I23*K23*0.034)))))</f>
        <v/>
      </c>
      <c r="P23" s="619"/>
      <c r="Q23" s="571" t="str">
        <f t="shared" si="0"/>
        <v/>
      </c>
      <c r="R23" s="620"/>
      <c r="AA23" s="48">
        <f>IF(C23="　","FALSE",IF(C23="その他床",0.7,1))</f>
        <v>1</v>
      </c>
    </row>
    <row r="24" spans="1:27" ht="20.100000000000001" customHeight="1" thickBot="1" x14ac:dyDescent="0.2">
      <c r="A24" s="405"/>
      <c r="B24" s="406"/>
      <c r="C24" s="565" t="str">
        <f t="shared" si="2"/>
        <v/>
      </c>
      <c r="D24" s="566"/>
      <c r="E24" s="577"/>
      <c r="F24" s="578"/>
      <c r="G24" s="577"/>
      <c r="H24" s="578"/>
      <c r="I24" s="579" t="str">
        <f t="shared" si="3"/>
        <v/>
      </c>
      <c r="J24" s="580"/>
      <c r="K24" s="575" t="str">
        <f>IF(A24="","",VLOOKUP($A24,断熱仕様一覧!$B$10:$F$21,5,0))</f>
        <v/>
      </c>
      <c r="L24" s="576"/>
      <c r="M24" s="581" t="str">
        <f t="shared" si="4"/>
        <v/>
      </c>
      <c r="N24" s="582"/>
      <c r="O24" s="581" t="str">
        <f>IF(C24="","",IF(共通条件・結果!$Z$6="８（Ⅵ）","-",IF($C24="　","",IF(OR($C24="外気床",$C24="その他床"),0,IF(OR($C24="屋根",$C24="天井"),I24*K24*0.034)))))</f>
        <v/>
      </c>
      <c r="P24" s="582"/>
      <c r="Q24" s="616" t="str">
        <f t="shared" si="0"/>
        <v/>
      </c>
      <c r="R24" s="617"/>
      <c r="AA24" s="48">
        <f>IF(C24="　","FALSE",IF(C24="その他床",0.7,1))</f>
        <v>1</v>
      </c>
    </row>
    <row r="25" spans="1:27" ht="20.100000000000001" customHeight="1" thickBot="1" x14ac:dyDescent="0.2">
      <c r="A25" s="602" t="s">
        <v>135</v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4"/>
      <c r="M25" s="551">
        <f>SUM(M16:N24)</f>
        <v>0</v>
      </c>
      <c r="N25" s="552"/>
      <c r="O25" s="551">
        <f>SUM(O16:P24)</f>
        <v>0</v>
      </c>
      <c r="P25" s="552"/>
      <c r="Q25" s="600">
        <f>SUM(Q16:R24)</f>
        <v>0</v>
      </c>
      <c r="R25" s="601"/>
    </row>
    <row r="26" spans="1:27" ht="20.10000000000000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27" ht="20.10000000000000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7" ht="20.10000000000000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7" ht="20.100000000000001" customHeight="1" thickBot="1" x14ac:dyDescent="0.2">
      <c r="A29" s="81" t="s">
        <v>394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/>
      <c r="S29" s="6"/>
      <c r="T29" s="6"/>
      <c r="U29" s="6"/>
      <c r="V29" s="6"/>
      <c r="W29" s="6"/>
      <c r="X29" s="6"/>
      <c r="Y29" s="2"/>
      <c r="Z29" s="2"/>
    </row>
    <row r="30" spans="1:27" ht="20.100000000000001" customHeight="1" x14ac:dyDescent="0.15">
      <c r="A30" s="605" t="s">
        <v>58</v>
      </c>
      <c r="B30" s="606"/>
      <c r="C30" s="611" t="s">
        <v>54</v>
      </c>
      <c r="D30" s="612"/>
      <c r="E30" s="612"/>
      <c r="F30" s="613"/>
      <c r="G30" s="10"/>
      <c r="H30" s="597">
        <f>L30+P30</f>
        <v>0</v>
      </c>
      <c r="I30" s="597"/>
      <c r="J30" s="10" t="s">
        <v>133</v>
      </c>
      <c r="K30" s="72" t="s">
        <v>59</v>
      </c>
      <c r="L30" s="598">
        <f>C6*E6+C7*E7+C8*E8+C9*E9+C10*E10</f>
        <v>0</v>
      </c>
      <c r="M30" s="598"/>
      <c r="N30" s="11" t="s">
        <v>22</v>
      </c>
      <c r="O30" s="83" t="s">
        <v>60</v>
      </c>
      <c r="P30" s="598">
        <f>SUM(I16:J24)</f>
        <v>0</v>
      </c>
      <c r="Q30" s="598"/>
      <c r="R30" s="144" t="s">
        <v>393</v>
      </c>
      <c r="S30" s="146"/>
      <c r="T30" s="147"/>
      <c r="U30" s="148"/>
      <c r="V30" s="148"/>
      <c r="W30" s="147"/>
      <c r="X30" s="29"/>
    </row>
    <row r="31" spans="1:27" ht="20.100000000000001" customHeight="1" x14ac:dyDescent="0.15">
      <c r="A31" s="607"/>
      <c r="B31" s="608"/>
      <c r="C31" s="591" t="s">
        <v>69</v>
      </c>
      <c r="D31" s="592"/>
      <c r="E31" s="592"/>
      <c r="F31" s="593"/>
      <c r="G31" s="9"/>
      <c r="H31" s="9"/>
      <c r="I31" s="9"/>
      <c r="J31" s="9"/>
      <c r="K31" s="9"/>
      <c r="L31" s="9"/>
      <c r="M31" s="9"/>
      <c r="N31" s="9"/>
      <c r="O31" s="549">
        <f>M11+M25</f>
        <v>0</v>
      </c>
      <c r="P31" s="549"/>
      <c r="Q31" s="549"/>
      <c r="R31" s="137"/>
      <c r="S31" s="149"/>
      <c r="T31" s="29"/>
      <c r="U31" s="148"/>
      <c r="V31" s="148"/>
      <c r="W31" s="6"/>
      <c r="X31" s="29"/>
    </row>
    <row r="32" spans="1:27" ht="20.100000000000001" customHeight="1" x14ac:dyDescent="0.15">
      <c r="A32" s="607"/>
      <c r="B32" s="608"/>
      <c r="C32" s="591" t="s">
        <v>70</v>
      </c>
      <c r="D32" s="592"/>
      <c r="E32" s="592"/>
      <c r="F32" s="593"/>
      <c r="G32" s="9"/>
      <c r="H32" s="9"/>
      <c r="I32" s="9"/>
      <c r="J32" s="9"/>
      <c r="K32" s="9"/>
      <c r="L32" s="9"/>
      <c r="M32" s="9"/>
      <c r="N32" s="9"/>
      <c r="O32" s="549">
        <f>O11+O25</f>
        <v>0</v>
      </c>
      <c r="P32" s="549"/>
      <c r="Q32" s="549"/>
      <c r="R32" s="137"/>
      <c r="S32" s="149"/>
      <c r="T32" s="29"/>
      <c r="U32" s="148"/>
      <c r="V32" s="148"/>
      <c r="W32" s="6"/>
      <c r="X32" s="29"/>
    </row>
    <row r="33" spans="1:67" ht="20.100000000000001" customHeight="1" thickBot="1" x14ac:dyDescent="0.2">
      <c r="A33" s="609"/>
      <c r="B33" s="610"/>
      <c r="C33" s="594" t="s">
        <v>17</v>
      </c>
      <c r="D33" s="595"/>
      <c r="E33" s="595"/>
      <c r="F33" s="596"/>
      <c r="G33" s="8"/>
      <c r="H33" s="8"/>
      <c r="I33" s="8"/>
      <c r="J33" s="8"/>
      <c r="K33" s="8"/>
      <c r="L33" s="8"/>
      <c r="M33" s="8"/>
      <c r="N33" s="8"/>
      <c r="O33" s="550">
        <f>Q11+Q25</f>
        <v>0</v>
      </c>
      <c r="P33" s="550"/>
      <c r="Q33" s="550"/>
      <c r="R33" s="145" t="s">
        <v>395</v>
      </c>
      <c r="S33" s="149"/>
      <c r="T33" s="29"/>
      <c r="U33" s="148"/>
      <c r="V33" s="148"/>
      <c r="W33" s="6"/>
      <c r="X33" s="29"/>
    </row>
    <row r="34" spans="1:67" ht="20.100000000000001" customHeight="1" x14ac:dyDescent="0.15"/>
    <row r="35" spans="1:67" ht="20.100000000000001" customHeight="1" x14ac:dyDescent="0.15"/>
    <row r="36" spans="1:67" ht="20.100000000000001" customHeight="1" x14ac:dyDescent="0.15"/>
    <row r="37" spans="1:67" ht="20.100000000000001" customHeight="1" x14ac:dyDescent="0.15">
      <c r="A37" s="5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67" ht="20.100000000000001" customHeight="1" x14ac:dyDescent="0.15">
      <c r="A38" s="51"/>
      <c r="B38" s="2"/>
      <c r="C38" s="2"/>
      <c r="D38" s="2"/>
      <c r="E38" s="2"/>
      <c r="F38" s="2"/>
      <c r="G38" s="6"/>
      <c r="H38" s="2"/>
      <c r="I38" s="2"/>
      <c r="J38" s="30"/>
      <c r="K38" s="2"/>
      <c r="L38" s="54"/>
      <c r="M38" s="2"/>
      <c r="N38" s="2"/>
      <c r="O38" s="54"/>
      <c r="P38" s="54"/>
      <c r="Q38" s="66"/>
      <c r="R38" s="66"/>
      <c r="S38" s="66"/>
      <c r="T38" s="66"/>
      <c r="U38" s="66"/>
      <c r="V38" s="66"/>
      <c r="W38" s="66"/>
      <c r="X38" s="2"/>
      <c r="Y38" s="2"/>
    </row>
    <row r="39" spans="1:67" ht="20.100000000000001" hidden="1" customHeight="1" x14ac:dyDescent="0.15">
      <c r="A39" s="2"/>
      <c r="B39" s="51" t="s">
        <v>109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 t="s">
        <v>186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67" ht="20.100000000000001" hidden="1" customHeight="1" x14ac:dyDescent="0.15">
      <c r="A40" s="2"/>
      <c r="F40" s="2"/>
      <c r="G40" s="2"/>
      <c r="H40" s="2"/>
      <c r="I40" s="2"/>
      <c r="J40" s="2"/>
      <c r="K40" s="2"/>
      <c r="L40" s="2"/>
      <c r="M40" s="51" t="s">
        <v>110</v>
      </c>
      <c r="N40" s="2" t="s">
        <v>187</v>
      </c>
      <c r="O40" s="79" t="s">
        <v>113</v>
      </c>
      <c r="P40" s="79" t="s">
        <v>114</v>
      </c>
      <c r="Q40" s="79" t="s">
        <v>115</v>
      </c>
      <c r="R40" s="2"/>
      <c r="S40" s="30" t="s">
        <v>265</v>
      </c>
      <c r="T40" s="30" t="s">
        <v>116</v>
      </c>
      <c r="U40" s="30" t="s">
        <v>117</v>
      </c>
      <c r="V40" s="30" t="s">
        <v>118</v>
      </c>
      <c r="W40" s="30" t="s">
        <v>119</v>
      </c>
      <c r="X40" s="30"/>
      <c r="Y40" s="30"/>
      <c r="Z40" s="30"/>
      <c r="AA40" s="2"/>
    </row>
    <row r="41" spans="1:67" ht="20.100000000000001" hidden="1" customHeight="1" x14ac:dyDescent="0.15">
      <c r="A41" s="30"/>
      <c r="F41" s="2"/>
      <c r="G41" s="2"/>
      <c r="H41" s="2"/>
      <c r="I41" s="2"/>
      <c r="J41" s="2"/>
      <c r="K41" s="2" t="s">
        <v>160</v>
      </c>
      <c r="L41" s="66" t="s">
        <v>156</v>
      </c>
      <c r="M41" s="100" t="s">
        <v>282</v>
      </c>
      <c r="N41" s="55">
        <v>1.6</v>
      </c>
      <c r="O41" s="107">
        <v>0.39</v>
      </c>
      <c r="P41" s="107">
        <v>0.24</v>
      </c>
      <c r="Q41" s="107">
        <v>0.09</v>
      </c>
      <c r="R41" s="56"/>
      <c r="S41" s="30" t="str">
        <f>IF(AND($G$6=$B$46,$I$6=$M41),"a","-")</f>
        <v>-</v>
      </c>
      <c r="T41" s="30" t="str">
        <f>IF(AND($G$7=$B$46,$I$7=$M41),"a","-")</f>
        <v>-</v>
      </c>
      <c r="U41" s="30" t="str">
        <f>IF(AND($G$8=$B$46,$I$8=$M41),"a","-")</f>
        <v>-</v>
      </c>
      <c r="V41" s="30" t="str">
        <f>IF(AND($G$9=$B$46,$I$9=$M41),"a","-")</f>
        <v>-</v>
      </c>
      <c r="W41" s="30" t="str">
        <f>IF(AND($G$10=$B$46,$I$10=$M41),"a","-")</f>
        <v>-</v>
      </c>
      <c r="X41" s="30"/>
      <c r="Y41" s="30"/>
      <c r="Z41" s="30"/>
      <c r="AA41" s="2"/>
    </row>
    <row r="42" spans="1:67" ht="20.100000000000001" hidden="1" customHeight="1" x14ac:dyDescent="0.15">
      <c r="A42" s="30"/>
      <c r="F42" s="2"/>
      <c r="G42" s="2"/>
      <c r="H42" s="2"/>
      <c r="I42" s="2"/>
      <c r="J42" s="2"/>
      <c r="K42" s="2" t="s">
        <v>161</v>
      </c>
      <c r="L42" s="66" t="s">
        <v>156</v>
      </c>
      <c r="M42" s="100" t="s">
        <v>283</v>
      </c>
      <c r="N42" s="55">
        <v>1.6</v>
      </c>
      <c r="O42" s="107">
        <v>0.24</v>
      </c>
      <c r="P42" s="107">
        <v>0.16</v>
      </c>
      <c r="Q42" s="107">
        <v>0.06</v>
      </c>
      <c r="R42" s="56"/>
      <c r="S42" s="30" t="str">
        <f>IF(AND($G$6=$B$46,$I$6=$M42),"b","-")</f>
        <v>-</v>
      </c>
      <c r="T42" s="30" t="str">
        <f>IF(AND($G$7=$B$46,$I$7=$M42),"b","-")</f>
        <v>-</v>
      </c>
      <c r="U42" s="30" t="str">
        <f>IF(AND($G$8=$B$46,$I$8=$M42),"b","-")</f>
        <v>-</v>
      </c>
      <c r="V42" s="30" t="str">
        <f>IF(AND($G$9=$B$46,$I$9=$M42),"b","-")</f>
        <v>-</v>
      </c>
      <c r="W42" s="30" t="str">
        <f>IF(AND($G$10=$B$46,$I$10=$M42),"b","-")</f>
        <v>-</v>
      </c>
      <c r="X42" s="30"/>
      <c r="Y42" s="30"/>
      <c r="Z42" s="30"/>
      <c r="AA42" s="2"/>
    </row>
    <row r="43" spans="1:67" ht="20.100000000000001" hidden="1" customHeight="1" x14ac:dyDescent="0.15">
      <c r="A43" s="30"/>
      <c r="F43" s="2"/>
      <c r="G43" s="2"/>
      <c r="H43" s="2"/>
      <c r="I43" s="2"/>
      <c r="J43" s="2"/>
      <c r="K43" s="2" t="s">
        <v>162</v>
      </c>
      <c r="L43" s="66" t="s">
        <v>156</v>
      </c>
      <c r="M43" s="100" t="s">
        <v>284</v>
      </c>
      <c r="N43" s="55">
        <v>1.7</v>
      </c>
      <c r="O43" s="107">
        <v>0.42</v>
      </c>
      <c r="P43" s="107">
        <v>0.27</v>
      </c>
      <c r="Q43" s="107">
        <v>0.1</v>
      </c>
      <c r="R43" s="56"/>
      <c r="S43" s="30" t="str">
        <f>IF(AND($G$6=$B$46,$I$6=$M43),"c","-")</f>
        <v>-</v>
      </c>
      <c r="T43" s="30" t="str">
        <f>IF(AND($G$7=$B$46,$I$7=$M43),"c","-")</f>
        <v>-</v>
      </c>
      <c r="U43" s="30" t="str">
        <f>IF(AND($G$8=$B$46,$I$8=$M43),"c","-")</f>
        <v>-</v>
      </c>
      <c r="V43" s="30" t="str">
        <f>IF(AND($G$9=$B$46,$I$9=$M43),"c","-")</f>
        <v>-</v>
      </c>
      <c r="W43" s="30" t="str">
        <f>IF(AND($G$10=$B$46,$I$10=$M43),"c","-")</f>
        <v>-</v>
      </c>
      <c r="X43" s="30"/>
      <c r="Y43" s="30"/>
      <c r="Z43" s="30"/>
      <c r="AA43" s="2"/>
    </row>
    <row r="44" spans="1:67" ht="20.100000000000001" hidden="1" customHeight="1" x14ac:dyDescent="0.15">
      <c r="A44" s="30"/>
      <c r="F44" s="2"/>
      <c r="G44" s="2"/>
      <c r="H44" s="2"/>
      <c r="I44" s="2"/>
      <c r="J44" s="2"/>
      <c r="K44" s="2" t="s">
        <v>163</v>
      </c>
      <c r="L44" s="66" t="s">
        <v>156</v>
      </c>
      <c r="M44" s="100" t="s">
        <v>285</v>
      </c>
      <c r="N44" s="55">
        <v>1.7</v>
      </c>
      <c r="O44" s="107">
        <v>0.27</v>
      </c>
      <c r="P44" s="107">
        <v>0.18</v>
      </c>
      <c r="Q44" s="107">
        <v>7.0000000000000007E-2</v>
      </c>
      <c r="R44" s="56"/>
      <c r="S44" s="30" t="str">
        <f>IF(AND($G$6=$B$46,$I$6=$M44),"d","-")</f>
        <v>-</v>
      </c>
      <c r="T44" s="30" t="str">
        <f>IF(AND($G$7=$B$46,$I$7=$M44),"d","-")</f>
        <v>-</v>
      </c>
      <c r="U44" s="30" t="str">
        <f>IF(AND($G$8=$B$46,$I$8=$M44),"d","-")</f>
        <v>-</v>
      </c>
      <c r="V44" s="30" t="str">
        <f>IF(AND($G$9=$B$46,$I$9=$M44),"d","-")</f>
        <v>-</v>
      </c>
      <c r="W44" s="30" t="str">
        <f>IF(AND($G$10=$B$46,$I$10=$M44),"d","-")</f>
        <v>-</v>
      </c>
      <c r="X44" s="30"/>
      <c r="Y44" s="30"/>
      <c r="Z44" s="30"/>
      <c r="AA44" s="2"/>
    </row>
    <row r="45" spans="1:67" ht="20.100000000000001" hidden="1" customHeight="1" x14ac:dyDescent="0.15">
      <c r="A45" s="30"/>
      <c r="B45" s="51" t="s">
        <v>155</v>
      </c>
      <c r="F45" s="2"/>
      <c r="G45" s="2"/>
      <c r="H45" s="2"/>
      <c r="I45" s="2"/>
      <c r="J45" s="2"/>
      <c r="K45" s="2" t="s">
        <v>164</v>
      </c>
      <c r="L45" s="66" t="s">
        <v>156</v>
      </c>
      <c r="M45" s="100" t="s">
        <v>286</v>
      </c>
      <c r="N45" s="55">
        <v>1.7</v>
      </c>
      <c r="O45" s="107">
        <v>0.42</v>
      </c>
      <c r="P45" s="107">
        <v>0.27</v>
      </c>
      <c r="Q45" s="107">
        <v>0.1</v>
      </c>
      <c r="R45" s="56"/>
      <c r="S45" s="30" t="str">
        <f>IF(AND($G$6=$B$46,$I$6=$M45),"e","-")</f>
        <v>-</v>
      </c>
      <c r="T45" s="30" t="str">
        <f>IF(AND($G$7=$B$46,$I$7=$M45),"e","-")</f>
        <v>-</v>
      </c>
      <c r="U45" s="30" t="str">
        <f>IF(AND($G$8=$B$46,$I$8=$M45),"e","-")</f>
        <v>-</v>
      </c>
      <c r="V45" s="30" t="str">
        <f>IF(AND($G$9=$B$46,$I$9=$M45),"e","-")</f>
        <v>-</v>
      </c>
      <c r="W45" s="30" t="str">
        <f>IF(AND($G$10=$B$46,$I$10=$M45),"e","-")</f>
        <v>-</v>
      </c>
      <c r="X45" s="30"/>
      <c r="Y45" s="30"/>
      <c r="Z45" s="30"/>
      <c r="AA45" s="2"/>
      <c r="AF45" s="51" t="s">
        <v>837</v>
      </c>
      <c r="AG45" s="2"/>
      <c r="AH45" s="2"/>
      <c r="AI45" s="2"/>
      <c r="AJ45" s="51" t="s">
        <v>838</v>
      </c>
      <c r="AK45" s="2"/>
      <c r="AL45" s="2"/>
      <c r="AM45" s="2"/>
      <c r="AN45" s="51" t="s">
        <v>839</v>
      </c>
      <c r="AO45" s="2"/>
      <c r="AP45" s="2"/>
      <c r="AQ45" s="2"/>
      <c r="AR45" s="51" t="s">
        <v>840</v>
      </c>
      <c r="AS45" s="2"/>
      <c r="AT45" s="2"/>
      <c r="AU45" s="2"/>
      <c r="AV45" s="51" t="s">
        <v>841</v>
      </c>
      <c r="AW45" s="2"/>
      <c r="AX45" s="2"/>
      <c r="AY45" s="2"/>
      <c r="AZ45" s="51" t="s">
        <v>842</v>
      </c>
      <c r="BA45" s="2"/>
      <c r="BB45" s="2"/>
      <c r="BC45" s="2"/>
      <c r="BD45" s="51" t="s">
        <v>843</v>
      </c>
      <c r="BE45" s="2"/>
      <c r="BF45" s="2"/>
      <c r="BG45" s="2"/>
      <c r="BH45" s="51" t="s">
        <v>844</v>
      </c>
      <c r="BI45" s="2"/>
      <c r="BJ45" s="2"/>
      <c r="BK45" s="2"/>
      <c r="BL45" s="51" t="s">
        <v>845</v>
      </c>
      <c r="BM45" s="2"/>
      <c r="BN45" s="2"/>
      <c r="BO45" s="2"/>
    </row>
    <row r="46" spans="1:67" ht="20.100000000000001" hidden="1" customHeight="1" x14ac:dyDescent="0.15">
      <c r="A46" s="30"/>
      <c r="B46" s="223" t="s">
        <v>833</v>
      </c>
      <c r="C46" s="224" t="s">
        <v>156</v>
      </c>
      <c r="F46" s="2"/>
      <c r="G46" s="2"/>
      <c r="H46" s="2"/>
      <c r="I46" s="2"/>
      <c r="J46" s="2"/>
      <c r="K46" s="2" t="s">
        <v>165</v>
      </c>
      <c r="L46" s="66" t="s">
        <v>156</v>
      </c>
      <c r="M46" s="100" t="s">
        <v>287</v>
      </c>
      <c r="N46" s="55">
        <v>1.7</v>
      </c>
      <c r="O46" s="107">
        <v>0.27</v>
      </c>
      <c r="P46" s="107">
        <v>0.18</v>
      </c>
      <c r="Q46" s="107">
        <v>7.0000000000000007E-2</v>
      </c>
      <c r="R46" s="56"/>
      <c r="S46" s="30" t="str">
        <f>IF(AND($G$6=$B$46,$I$6=$M46),"f","-")</f>
        <v>-</v>
      </c>
      <c r="T46" s="30" t="str">
        <f>IF(AND($G$7=$B$46,$I$7=$M46),"f","-")</f>
        <v>-</v>
      </c>
      <c r="U46" s="30" t="str">
        <f>IF(AND($G$8=$B$46,$I$8=$M46),"f","-")</f>
        <v>-</v>
      </c>
      <c r="V46" s="30" t="str">
        <f>IF(AND($G$9=$B$46,$I$9=$M46),"f","-")</f>
        <v>-</v>
      </c>
      <c r="W46" s="30" t="str">
        <f>IF(AND($G$10=$B$46,$I$10=$M46),"f","-")</f>
        <v>-</v>
      </c>
      <c r="X46" s="30"/>
      <c r="Y46" s="30"/>
      <c r="Z46" s="30"/>
      <c r="AA46" s="2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  <c r="AN46" s="208" t="s">
        <v>833</v>
      </c>
      <c r="AO46" s="208" t="s">
        <v>834</v>
      </c>
      <c r="AP46" s="208" t="s">
        <v>835</v>
      </c>
      <c r="AQ46" s="208" t="s">
        <v>836</v>
      </c>
      <c r="AR46" s="208" t="s">
        <v>833</v>
      </c>
      <c r="AS46" s="208" t="s">
        <v>834</v>
      </c>
      <c r="AT46" s="208" t="s">
        <v>835</v>
      </c>
      <c r="AU46" s="208" t="s">
        <v>836</v>
      </c>
      <c r="AV46" s="208" t="s">
        <v>833</v>
      </c>
      <c r="AW46" s="208" t="s">
        <v>834</v>
      </c>
      <c r="AX46" s="208" t="s">
        <v>835</v>
      </c>
      <c r="AY46" s="208" t="s">
        <v>836</v>
      </c>
      <c r="AZ46" s="208" t="s">
        <v>833</v>
      </c>
      <c r="BA46" s="208" t="s">
        <v>834</v>
      </c>
      <c r="BB46" s="208" t="s">
        <v>835</v>
      </c>
      <c r="BC46" s="208" t="s">
        <v>836</v>
      </c>
      <c r="BD46" s="208" t="s">
        <v>833</v>
      </c>
      <c r="BE46" s="208" t="s">
        <v>834</v>
      </c>
      <c r="BF46" s="208" t="s">
        <v>835</v>
      </c>
      <c r="BG46" s="208" t="s">
        <v>836</v>
      </c>
      <c r="BH46" s="208" t="s">
        <v>833</v>
      </c>
      <c r="BI46" s="208" t="s">
        <v>834</v>
      </c>
      <c r="BJ46" s="208" t="s">
        <v>835</v>
      </c>
      <c r="BK46" s="208" t="s">
        <v>836</v>
      </c>
      <c r="BL46" s="208" t="s">
        <v>833</v>
      </c>
      <c r="BM46" s="208" t="s">
        <v>834</v>
      </c>
      <c r="BN46" s="208" t="s">
        <v>835</v>
      </c>
      <c r="BO46" s="208" t="s">
        <v>836</v>
      </c>
    </row>
    <row r="47" spans="1:67" ht="20.100000000000001" hidden="1" customHeight="1" x14ac:dyDescent="0.15">
      <c r="A47" s="2"/>
      <c r="B47" s="223" t="s">
        <v>834</v>
      </c>
      <c r="C47" s="224" t="s">
        <v>859</v>
      </c>
      <c r="F47" s="2"/>
      <c r="G47" s="2"/>
      <c r="H47" s="2"/>
      <c r="I47" s="2"/>
      <c r="J47" s="2"/>
      <c r="K47" s="2" t="s">
        <v>166</v>
      </c>
      <c r="L47" s="66" t="s">
        <v>156</v>
      </c>
      <c r="M47" s="100" t="s">
        <v>288</v>
      </c>
      <c r="N47" s="55">
        <v>1.9</v>
      </c>
      <c r="O47" s="107">
        <v>0.46</v>
      </c>
      <c r="P47" s="107">
        <v>0.27</v>
      </c>
      <c r="Q47" s="107">
        <v>0.11</v>
      </c>
      <c r="R47" s="56"/>
      <c r="S47" s="30" t="str">
        <f>IF(AND($G$6=$B$46,$I$6=$M47),"g","-")</f>
        <v>-</v>
      </c>
      <c r="T47" s="30" t="str">
        <f>IF(AND($G$7=$B$46,$I$7=$M47),"g","-")</f>
        <v>-</v>
      </c>
      <c r="U47" s="30" t="str">
        <f>IF(AND($G$8=$B$46,$I$8=$M47),"g","-")</f>
        <v>-</v>
      </c>
      <c r="V47" s="30" t="str">
        <f>IF(AND($G$9=$B$46,$I$9=$M47),"g","-")</f>
        <v>-</v>
      </c>
      <c r="W47" s="30" t="str">
        <f>IF(AND($G$10=$B$46,$I$10=$M47),"g","-")</f>
        <v>-</v>
      </c>
      <c r="X47" s="30"/>
      <c r="Y47" s="30"/>
      <c r="Z47" s="30"/>
      <c r="AA47" s="2"/>
      <c r="BL47" s="209" t="s">
        <v>282</v>
      </c>
      <c r="BM47" s="210" t="s">
        <v>297</v>
      </c>
      <c r="BN47" s="211" t="s">
        <v>290</v>
      </c>
      <c r="BO47" s="212" t="s">
        <v>290</v>
      </c>
    </row>
    <row r="48" spans="1:67" ht="20.100000000000001" hidden="1" customHeight="1" x14ac:dyDescent="0.15">
      <c r="A48" s="55"/>
      <c r="B48" s="223" t="s">
        <v>835</v>
      </c>
      <c r="C48" s="224" t="s">
        <v>860</v>
      </c>
      <c r="F48" s="6"/>
      <c r="G48" s="2"/>
      <c r="H48" s="2"/>
      <c r="I48" s="2"/>
      <c r="J48" s="2"/>
      <c r="K48" s="2" t="s">
        <v>167</v>
      </c>
      <c r="L48" s="66" t="s">
        <v>156</v>
      </c>
      <c r="M48" s="100" t="s">
        <v>289</v>
      </c>
      <c r="N48" s="55">
        <v>1.9</v>
      </c>
      <c r="O48" s="107">
        <v>0.28999999999999998</v>
      </c>
      <c r="P48" s="107">
        <v>0.19</v>
      </c>
      <c r="Q48" s="107">
        <v>0.08</v>
      </c>
      <c r="R48" s="56"/>
      <c r="S48" s="30" t="str">
        <f>IF(AND($G$6=$B$46,$I$6=$M48),"h","-")</f>
        <v>-</v>
      </c>
      <c r="T48" s="30" t="str">
        <f>IF(AND($G$7=$B$46,$I$7=$M48),"h","-")</f>
        <v>-</v>
      </c>
      <c r="U48" s="30" t="str">
        <f>IF(AND($G$8=$B$46,$I$8=$M48),"h","-")</f>
        <v>-</v>
      </c>
      <c r="V48" s="30" t="str">
        <f>IF(AND($G$9=$B$46,$I$9=$M48),"h","-")</f>
        <v>-</v>
      </c>
      <c r="W48" s="30" t="str">
        <f>IF(AND($G$10=$B$46,$I$10=$M48),"h","-")</f>
        <v>-</v>
      </c>
      <c r="X48" s="30"/>
      <c r="Y48" s="30"/>
      <c r="Z48" s="30"/>
      <c r="AA48" s="2"/>
      <c r="BL48" s="209" t="s">
        <v>283</v>
      </c>
      <c r="BM48" s="210" t="s">
        <v>298</v>
      </c>
      <c r="BN48" s="211" t="s">
        <v>291</v>
      </c>
      <c r="BO48" s="212" t="s">
        <v>291</v>
      </c>
    </row>
    <row r="49" spans="1:67" ht="20.100000000000001" hidden="1" customHeight="1" x14ac:dyDescent="0.15">
      <c r="A49" s="55"/>
      <c r="B49" s="223" t="s">
        <v>836</v>
      </c>
      <c r="C49" s="224" t="s">
        <v>861</v>
      </c>
      <c r="F49" s="6"/>
      <c r="G49" s="2"/>
      <c r="H49" s="2"/>
      <c r="I49" s="2"/>
      <c r="J49" s="2"/>
      <c r="K49" s="2" t="s">
        <v>168</v>
      </c>
      <c r="L49" s="66" t="s">
        <v>156</v>
      </c>
      <c r="M49" s="100" t="s">
        <v>290</v>
      </c>
      <c r="N49" s="55">
        <v>2.33</v>
      </c>
      <c r="O49" s="107">
        <v>0.46</v>
      </c>
      <c r="P49" s="107">
        <v>0.27</v>
      </c>
      <c r="Q49" s="107">
        <v>0.11</v>
      </c>
      <c r="R49" s="56"/>
      <c r="S49" s="30" t="str">
        <f>IF(AND($G$6=$B$46,$I$6=$M49),"i","-")</f>
        <v>-</v>
      </c>
      <c r="T49" s="30" t="str">
        <f>IF(AND($G$7=$B$46,$I$7=$M49),"i","-")</f>
        <v>-</v>
      </c>
      <c r="U49" s="30" t="str">
        <f>IF(AND($G$8=$B$46,$I$8=$M49),"i","-")</f>
        <v>-</v>
      </c>
      <c r="V49" s="30" t="str">
        <f>IF(AND($G$9=$B$46,$I$9=$M49),"i","-")</f>
        <v>-</v>
      </c>
      <c r="W49" s="30" t="str">
        <f>IF(AND($G$10=$B$46,$I$10=$M49),"i","-")</f>
        <v>-</v>
      </c>
      <c r="X49" s="30"/>
      <c r="Y49" s="30"/>
      <c r="Z49" s="30"/>
      <c r="AA49" s="2"/>
      <c r="BL49" s="209" t="s">
        <v>284</v>
      </c>
      <c r="BM49" s="210" t="s">
        <v>290</v>
      </c>
      <c r="BN49" s="211" t="s">
        <v>299</v>
      </c>
      <c r="BO49" s="212" t="s">
        <v>299</v>
      </c>
    </row>
    <row r="50" spans="1:67" ht="20.100000000000001" hidden="1" customHeight="1" x14ac:dyDescent="0.15">
      <c r="A50" s="55"/>
      <c r="F50" s="6"/>
      <c r="G50" s="2"/>
      <c r="H50" s="2"/>
      <c r="I50" s="2"/>
      <c r="J50" s="2"/>
      <c r="K50" s="2" t="s">
        <v>169</v>
      </c>
      <c r="L50" s="66" t="s">
        <v>156</v>
      </c>
      <c r="M50" s="100" t="s">
        <v>291</v>
      </c>
      <c r="N50" s="55">
        <v>2.33</v>
      </c>
      <c r="O50" s="107">
        <v>0.28999999999999998</v>
      </c>
      <c r="P50" s="107">
        <v>0.19</v>
      </c>
      <c r="Q50" s="107">
        <v>0.08</v>
      </c>
      <c r="R50" s="56"/>
      <c r="S50" s="30" t="str">
        <f>IF(AND($G$6=$B$46,$I$6=$M50),"j","-")</f>
        <v>-</v>
      </c>
      <c r="T50" s="30" t="str">
        <f>IF(AND($G$7=$B$46,$I$7=$M50),"j","-")</f>
        <v>-</v>
      </c>
      <c r="U50" s="30" t="str">
        <f>IF(AND($G$8=$B$46,$I$8=$M50),"j","-")</f>
        <v>-</v>
      </c>
      <c r="V50" s="30" t="str">
        <f>IF(AND($G$9=$B$46,$I$9=$M50),"j","-")</f>
        <v>-</v>
      </c>
      <c r="W50" s="30" t="str">
        <f>IF(AND($G$10=$B$46,$I$10=$M50),"j","-")</f>
        <v>-</v>
      </c>
      <c r="X50" s="30"/>
      <c r="Y50" s="30"/>
      <c r="Z50" s="30"/>
      <c r="AA50" s="2"/>
      <c r="BL50" s="209" t="s">
        <v>285</v>
      </c>
      <c r="BM50" s="210" t="s">
        <v>291</v>
      </c>
      <c r="BN50" s="211" t="s">
        <v>300</v>
      </c>
      <c r="BO50" s="212" t="s">
        <v>300</v>
      </c>
    </row>
    <row r="51" spans="1:67" ht="20.100000000000001" hidden="1" customHeight="1" x14ac:dyDescent="0.15">
      <c r="A51" s="55"/>
      <c r="F51" s="6"/>
      <c r="G51" s="2"/>
      <c r="H51" s="2"/>
      <c r="I51" s="2"/>
      <c r="J51" s="2"/>
      <c r="K51" s="2" t="s">
        <v>170</v>
      </c>
      <c r="L51" s="66" t="s">
        <v>156</v>
      </c>
      <c r="M51" s="100" t="s">
        <v>302</v>
      </c>
      <c r="N51" s="55">
        <v>2.33</v>
      </c>
      <c r="O51" s="107">
        <v>0.46</v>
      </c>
      <c r="P51" s="107">
        <v>0.27</v>
      </c>
      <c r="Q51" s="107">
        <v>0.11</v>
      </c>
      <c r="R51" s="56"/>
      <c r="S51" s="30" t="str">
        <f>IF(AND($G$6=$B$46,$I$6=$M51),"k","-")</f>
        <v>-</v>
      </c>
      <c r="T51" s="30" t="str">
        <f>IF(AND($G$7=$B$46,$I$7=$M51),"k","-")</f>
        <v>-</v>
      </c>
      <c r="U51" s="30" t="str">
        <f>IF(AND($G$8=$B$46,$I$8=$M51),"k","-")</f>
        <v>-</v>
      </c>
      <c r="V51" s="30" t="str">
        <f>IF(AND($G$9=$B$46,$I$9=$M51),"k","-")</f>
        <v>-</v>
      </c>
      <c r="W51" s="30" t="str">
        <f>IF(AND($G$10=$B$46,$I$10=$M51),"k","-")</f>
        <v>-</v>
      </c>
      <c r="X51" s="30"/>
      <c r="Y51" s="30"/>
      <c r="Z51" s="30"/>
      <c r="AA51" s="2"/>
      <c r="BL51" s="209" t="s">
        <v>286</v>
      </c>
      <c r="BM51" s="210" t="s">
        <v>311</v>
      </c>
      <c r="BN51" s="211" t="s">
        <v>313</v>
      </c>
      <c r="BO51" s="212" t="s">
        <v>304</v>
      </c>
    </row>
    <row r="52" spans="1:67" ht="20.100000000000001" hidden="1" customHeight="1" x14ac:dyDescent="0.15">
      <c r="A52" s="55"/>
      <c r="F52" s="6"/>
      <c r="G52" s="2"/>
      <c r="H52" s="2"/>
      <c r="I52" s="2"/>
      <c r="J52" s="2"/>
      <c r="K52" s="2" t="s">
        <v>171</v>
      </c>
      <c r="L52" s="66" t="s">
        <v>156</v>
      </c>
      <c r="M52" s="100" t="s">
        <v>303</v>
      </c>
      <c r="N52" s="55">
        <v>2.33</v>
      </c>
      <c r="O52" s="107">
        <v>0.28999999999999998</v>
      </c>
      <c r="P52" s="107">
        <v>0.19</v>
      </c>
      <c r="Q52" s="107">
        <v>0.08</v>
      </c>
      <c r="R52" s="56"/>
      <c r="S52" s="30" t="str">
        <f>IF(AND($G$6=$B$46,$I$6=$M52),"l","-")</f>
        <v>-</v>
      </c>
      <c r="T52" s="30" t="str">
        <f>IF(AND($G$7=$B$46,$I$7=$M52),"l","-")</f>
        <v>-</v>
      </c>
      <c r="U52" s="30" t="str">
        <f>IF(AND($G$8=$B$46,$I$8=$M52),"l","-")</f>
        <v>-</v>
      </c>
      <c r="V52" s="30" t="str">
        <f>IF(AND($G$9=$B$46,$I$9=$M52),"l","-")</f>
        <v>-</v>
      </c>
      <c r="W52" s="30" t="str">
        <f>IF(AND($G$10=$B$46,$I$10=$M52),"l","-")</f>
        <v>-</v>
      </c>
      <c r="X52" s="30"/>
      <c r="Y52" s="30"/>
      <c r="Z52" s="30"/>
      <c r="AA52" s="2"/>
      <c r="BL52" s="209" t="s">
        <v>287</v>
      </c>
      <c r="BM52" s="210" t="s">
        <v>312</v>
      </c>
      <c r="BN52" s="211" t="s">
        <v>314</v>
      </c>
      <c r="BO52" s="212" t="s">
        <v>305</v>
      </c>
    </row>
    <row r="53" spans="1:67" ht="20.100000000000001" hidden="1" customHeight="1" x14ac:dyDescent="0.15">
      <c r="A53" s="55"/>
      <c r="F53" s="6"/>
      <c r="G53" s="2"/>
      <c r="H53" s="2"/>
      <c r="I53" s="2"/>
      <c r="J53" s="2"/>
      <c r="K53" s="2" t="s">
        <v>172</v>
      </c>
      <c r="L53" s="66" t="s">
        <v>156</v>
      </c>
      <c r="M53" s="100" t="s">
        <v>292</v>
      </c>
      <c r="N53" s="55">
        <v>2.91</v>
      </c>
      <c r="O53" s="107">
        <v>0.44</v>
      </c>
      <c r="P53" s="107">
        <v>0.24</v>
      </c>
      <c r="Q53" s="107">
        <v>0.1</v>
      </c>
      <c r="R53" s="56"/>
      <c r="S53" s="30" t="str">
        <f>IF(AND($G$6=$B$46,$I$6=$M53),"m","-")</f>
        <v>-</v>
      </c>
      <c r="T53" s="30" t="str">
        <f>IF(AND($G$7=$B$46,$I$7=$M53),"m","-")</f>
        <v>-</v>
      </c>
      <c r="U53" s="30" t="str">
        <f>IF(AND($G$8=$B$46,$I$8=$M53),"m","-")</f>
        <v>-</v>
      </c>
      <c r="V53" s="30" t="str">
        <f>IF(AND($G$9=$B$46,$I$9=$M53),"m","-")</f>
        <v>-</v>
      </c>
      <c r="W53" s="30" t="str">
        <f>IF(AND($G$10=$B$46,$I$10=$M53),"m","-")</f>
        <v>-</v>
      </c>
      <c r="X53" s="30"/>
      <c r="Y53" s="30"/>
      <c r="Z53" s="30"/>
      <c r="AA53" s="2"/>
      <c r="BL53" s="209" t="s">
        <v>288</v>
      </c>
      <c r="BM53" s="210" t="s">
        <v>304</v>
      </c>
      <c r="BN53" s="211" t="s">
        <v>785</v>
      </c>
      <c r="BO53" s="212" t="s">
        <v>785</v>
      </c>
    </row>
    <row r="54" spans="1:67" ht="20.100000000000001" hidden="1" customHeight="1" x14ac:dyDescent="0.15">
      <c r="A54" s="55"/>
      <c r="F54" s="6"/>
      <c r="G54" s="2"/>
      <c r="H54" s="2"/>
      <c r="I54" s="2"/>
      <c r="J54" s="2"/>
      <c r="K54" s="2" t="s">
        <v>173</v>
      </c>
      <c r="L54" s="66" t="s">
        <v>156</v>
      </c>
      <c r="M54" s="100" t="s">
        <v>293</v>
      </c>
      <c r="N54" s="55">
        <v>2.91</v>
      </c>
      <c r="O54" s="107">
        <v>0.27</v>
      </c>
      <c r="P54" s="107">
        <v>0.17</v>
      </c>
      <c r="Q54" s="107">
        <v>7.0000000000000007E-2</v>
      </c>
      <c r="R54" s="56"/>
      <c r="S54" s="30" t="str">
        <f>IF(AND($G$6=$B$46,$I$6=$M54),"n","-")</f>
        <v>-</v>
      </c>
      <c r="T54" s="30" t="str">
        <f>IF(AND($G$7=$B$46,$I$7=$M54),"n","-")</f>
        <v>-</v>
      </c>
      <c r="U54" s="30" t="str">
        <f>IF(AND($G$8=$B$46,$I$8=$M54),"n","-")</f>
        <v>-</v>
      </c>
      <c r="V54" s="30" t="str">
        <f>IF(AND($G$9=$B$46,$I$9=$M54),"n","-")</f>
        <v>-</v>
      </c>
      <c r="W54" s="30" t="str">
        <f>IF(AND($G$10=$B$46,$I$10=$M54),"n","-")</f>
        <v>-</v>
      </c>
      <c r="X54" s="30"/>
      <c r="Y54" s="30"/>
      <c r="Z54" s="30"/>
      <c r="AA54" s="2"/>
      <c r="BL54" s="209" t="s">
        <v>289</v>
      </c>
      <c r="BM54" s="210" t="s">
        <v>305</v>
      </c>
      <c r="BN54" s="211" t="s">
        <v>786</v>
      </c>
      <c r="BO54" s="212" t="s">
        <v>786</v>
      </c>
    </row>
    <row r="55" spans="1:67" ht="20.100000000000001" hidden="1" customHeight="1" x14ac:dyDescent="0.15">
      <c r="A55" s="2"/>
      <c r="F55" s="6"/>
      <c r="G55" s="6"/>
      <c r="H55" s="6"/>
      <c r="I55" s="6"/>
      <c r="J55" s="2"/>
      <c r="K55" s="2" t="s">
        <v>174</v>
      </c>
      <c r="L55" s="66" t="s">
        <v>156</v>
      </c>
      <c r="M55" s="100" t="s">
        <v>294</v>
      </c>
      <c r="N55" s="55">
        <v>2.91</v>
      </c>
      <c r="O55" s="107">
        <v>0.12</v>
      </c>
      <c r="P55" s="107">
        <v>0.09</v>
      </c>
      <c r="Q55" s="107">
        <v>0.04</v>
      </c>
      <c r="R55" s="56"/>
      <c r="S55" s="30" t="str">
        <f>IF(AND($G$6=$B$46,$I$6=$M55),"o","-")</f>
        <v>-</v>
      </c>
      <c r="T55" s="30" t="str">
        <f>IF(AND($G$7=$B$46,$I$7=$M55),"o","-")</f>
        <v>-</v>
      </c>
      <c r="U55" s="30" t="str">
        <f>IF(AND($G$8=$B$46,$I$8=$M55),"o","-")</f>
        <v>-</v>
      </c>
      <c r="V55" s="30" t="str">
        <f>IF(AND($G$9=$B$46,$I$9=$M55),"o","-")</f>
        <v>-</v>
      </c>
      <c r="W55" s="30" t="str">
        <f>IF(AND($G$10=$B$46,$I$10=$M55),"o","-")</f>
        <v>-</v>
      </c>
      <c r="X55" s="30"/>
      <c r="Y55" s="30"/>
      <c r="Z55" s="30"/>
      <c r="AA55" s="2"/>
      <c r="BL55" s="209" t="s">
        <v>290</v>
      </c>
      <c r="BM55" s="210" t="s">
        <v>785</v>
      </c>
      <c r="BN55" s="211" t="s">
        <v>292</v>
      </c>
      <c r="BO55" s="212" t="s">
        <v>292</v>
      </c>
    </row>
    <row r="56" spans="1:67" ht="20.100000000000001" hidden="1" customHeight="1" x14ac:dyDescent="0.15">
      <c r="A56" s="30"/>
      <c r="F56" s="104"/>
      <c r="G56" s="104"/>
      <c r="H56" s="104"/>
      <c r="I56" s="104"/>
      <c r="J56" s="2"/>
      <c r="K56" s="2" t="s">
        <v>175</v>
      </c>
      <c r="L56" s="66" t="s">
        <v>156</v>
      </c>
      <c r="M56" s="100" t="s">
        <v>295</v>
      </c>
      <c r="N56" s="55">
        <v>2.91</v>
      </c>
      <c r="O56" s="107">
        <v>0.37</v>
      </c>
      <c r="P56" s="107">
        <v>0.2</v>
      </c>
      <c r="Q56" s="107">
        <v>0.09</v>
      </c>
      <c r="R56" s="56"/>
      <c r="S56" s="30" t="str">
        <f>IF(AND($G$6=$B$46,$I$6=$M56),"p","-")</f>
        <v>-</v>
      </c>
      <c r="T56" s="30" t="str">
        <f>IF(AND($G$7=$B$46,$I$7=$M56),"p","-")</f>
        <v>-</v>
      </c>
      <c r="U56" s="30" t="str">
        <f>IF(AND($G$8=$B$46,$I$8=$M56),"p","-")</f>
        <v>-</v>
      </c>
      <c r="V56" s="30" t="str">
        <f>IF(AND($G$9=$B$46,$I$9=$M56),"p","-")</f>
        <v>-</v>
      </c>
      <c r="W56" s="30" t="str">
        <f>IF(AND($G$10=$B$46,$I$10=$M56),"p","-")</f>
        <v>-</v>
      </c>
      <c r="X56" s="30"/>
      <c r="Y56" s="30"/>
      <c r="Z56" s="30"/>
      <c r="AA56" s="2"/>
      <c r="BL56" s="209" t="s">
        <v>291</v>
      </c>
      <c r="BM56" s="210" t="s">
        <v>786</v>
      </c>
      <c r="BN56" s="211" t="s">
        <v>293</v>
      </c>
      <c r="BO56" s="212" t="s">
        <v>293</v>
      </c>
    </row>
    <row r="57" spans="1:67" ht="20.100000000000001" hidden="1" customHeight="1" x14ac:dyDescent="0.15">
      <c r="A57" s="30"/>
      <c r="F57" s="55"/>
      <c r="G57" s="55"/>
      <c r="H57" s="55"/>
      <c r="I57" s="112"/>
      <c r="J57" s="2"/>
      <c r="K57" s="2" t="s">
        <v>176</v>
      </c>
      <c r="L57" s="66" t="s">
        <v>156</v>
      </c>
      <c r="M57" s="100" t="s">
        <v>296</v>
      </c>
      <c r="N57" s="55">
        <v>2.91</v>
      </c>
      <c r="O57" s="107">
        <v>0.56999999999999995</v>
      </c>
      <c r="P57" s="107">
        <v>0.27</v>
      </c>
      <c r="Q57" s="107">
        <v>0.12</v>
      </c>
      <c r="R57" s="56"/>
      <c r="S57" s="30" t="str">
        <f>IF(AND($G$6=$B$46,$I$6=$M57),"q","-")</f>
        <v>-</v>
      </c>
      <c r="T57" s="30" t="str">
        <f>IF(AND($G$7=$B$46,$I$7=$M57),"q","-")</f>
        <v>-</v>
      </c>
      <c r="U57" s="30" t="str">
        <f>IF(AND($G$8=$B$46,$I$8=$M57),"q","-")</f>
        <v>-</v>
      </c>
      <c r="V57" s="30" t="str">
        <f>IF(AND($G$9=$B$46,$I$9=$M57),"q","-")</f>
        <v>-</v>
      </c>
      <c r="W57" s="30" t="str">
        <f>IF(AND($G$10=$B$46,$I$10=$M57),"q","-")</f>
        <v>-</v>
      </c>
      <c r="X57" s="30"/>
      <c r="Y57" s="30"/>
      <c r="Z57" s="30"/>
      <c r="AA57" s="2"/>
      <c r="BL57" s="209" t="s">
        <v>302</v>
      </c>
      <c r="BM57" s="210" t="s">
        <v>292</v>
      </c>
      <c r="BN57" s="211" t="s">
        <v>294</v>
      </c>
      <c r="BO57" s="212" t="s">
        <v>294</v>
      </c>
    </row>
    <row r="58" spans="1:67" ht="20.100000000000001" hidden="1" customHeight="1" x14ac:dyDescent="0.15">
      <c r="A58" s="56"/>
      <c r="F58" s="55"/>
      <c r="G58" s="55"/>
      <c r="H58" s="55"/>
      <c r="I58" s="112"/>
      <c r="J58" s="2"/>
      <c r="K58" s="2" t="s">
        <v>177</v>
      </c>
      <c r="L58" s="66" t="s">
        <v>156</v>
      </c>
      <c r="M58" s="100" t="s">
        <v>304</v>
      </c>
      <c r="N58" s="55">
        <v>2.91</v>
      </c>
      <c r="O58" s="107">
        <v>0.46</v>
      </c>
      <c r="P58" s="107">
        <v>0.27</v>
      </c>
      <c r="Q58" s="107">
        <v>0.11</v>
      </c>
      <c r="R58" s="56"/>
      <c r="S58" s="30" t="str">
        <f>IF(AND($G$6=$B$46,$I$6=$M58),"r","-")</f>
        <v>-</v>
      </c>
      <c r="T58" s="30" t="str">
        <f>IF(AND($G$7=$B$46,$I$7=$M58),"r","-")</f>
        <v>-</v>
      </c>
      <c r="U58" s="30" t="str">
        <f>IF(AND($G$8=$B$46,$I$8=$M58),"r","-")</f>
        <v>-</v>
      </c>
      <c r="V58" s="30" t="str">
        <f>IF(AND($G$9=$B$46,$I$9=$M58),"r","-")</f>
        <v>-</v>
      </c>
      <c r="W58" s="30" t="str">
        <f>IF(AND($G$10=$B$46,$I$10=$M58),"r","-")</f>
        <v>-</v>
      </c>
      <c r="X58" s="30"/>
      <c r="Y58" s="30"/>
      <c r="Z58" s="30"/>
      <c r="AA58" s="2"/>
      <c r="BL58" s="209" t="s">
        <v>303</v>
      </c>
      <c r="BM58" s="210" t="s">
        <v>293</v>
      </c>
      <c r="BN58" s="211" t="s">
        <v>295</v>
      </c>
      <c r="BO58" s="212" t="s">
        <v>295</v>
      </c>
    </row>
    <row r="59" spans="1:67" ht="20.100000000000001" hidden="1" customHeight="1" x14ac:dyDescent="0.15">
      <c r="A59" s="30"/>
      <c r="F59" s="55"/>
      <c r="G59" s="55"/>
      <c r="H59" s="55"/>
      <c r="I59" s="112"/>
      <c r="J59" s="2"/>
      <c r="K59" s="2" t="s">
        <v>178</v>
      </c>
      <c r="L59" s="66" t="s">
        <v>156</v>
      </c>
      <c r="M59" s="100" t="s">
        <v>305</v>
      </c>
      <c r="N59" s="55">
        <v>2.91</v>
      </c>
      <c r="O59" s="107">
        <v>0.28999999999999998</v>
      </c>
      <c r="P59" s="107">
        <v>0.19</v>
      </c>
      <c r="Q59" s="107">
        <v>0.08</v>
      </c>
      <c r="R59" s="56"/>
      <c r="S59" s="30" t="str">
        <f>IF(AND($G$6=$B$46,$I$6=$M59),"s","-")</f>
        <v>-</v>
      </c>
      <c r="T59" s="30" t="str">
        <f>IF(AND($G$7=$B$46,$I$7=$M59),"s","-")</f>
        <v>-</v>
      </c>
      <c r="U59" s="30" t="str">
        <f>IF(AND($G$8=$B$46,$I$8=$M59),"s","-")</f>
        <v>-</v>
      </c>
      <c r="V59" s="30" t="str">
        <f>IF(AND($G$9=$B$46,$I$9=$M59),"s","-")</f>
        <v>-</v>
      </c>
      <c r="W59" s="30" t="str">
        <f>IF(AND($G$10=$B$46,$I$10=$M59),"s","-")</f>
        <v>-</v>
      </c>
      <c r="X59" s="30"/>
      <c r="Y59" s="30"/>
      <c r="Z59" s="30"/>
      <c r="AA59" s="2"/>
      <c r="BL59" s="209" t="s">
        <v>292</v>
      </c>
      <c r="BM59" s="210" t="s">
        <v>294</v>
      </c>
      <c r="BN59" s="211" t="s">
        <v>296</v>
      </c>
      <c r="BO59" s="212" t="s">
        <v>296</v>
      </c>
    </row>
    <row r="60" spans="1:67" ht="20.100000000000001" hidden="1" customHeight="1" x14ac:dyDescent="0.15">
      <c r="A60" s="56"/>
      <c r="F60" s="55"/>
      <c r="G60" s="55"/>
      <c r="H60" s="55"/>
      <c r="I60" s="112"/>
      <c r="J60" s="2"/>
      <c r="K60" s="2" t="s">
        <v>179</v>
      </c>
      <c r="L60" s="66" t="s">
        <v>156</v>
      </c>
      <c r="M60" s="100" t="s">
        <v>785</v>
      </c>
      <c r="N60" s="55">
        <v>2.91</v>
      </c>
      <c r="O60" s="107">
        <v>0.46</v>
      </c>
      <c r="P60" s="107">
        <v>0.27</v>
      </c>
      <c r="Q60" s="107">
        <v>0.11</v>
      </c>
      <c r="R60" s="56"/>
      <c r="S60" s="30" t="str">
        <f>IF(AND($G$6=$B$46,$I$6=$M60),"t","-")</f>
        <v>-</v>
      </c>
      <c r="T60" s="30" t="str">
        <f>IF(AND($G$7=$B$46,$I$7=$M60),"t","-")</f>
        <v>-</v>
      </c>
      <c r="U60" s="30" t="str">
        <f>IF(AND($G$8=$B$46,$I$8=$M60),"t","-")</f>
        <v>-</v>
      </c>
      <c r="V60" s="30" t="str">
        <f>IF(AND($G$9=$B$46,$I$9=$M60),"t","-")</f>
        <v>-</v>
      </c>
      <c r="W60" s="30" t="str">
        <f>IF(AND($G$10=$B$46,$I$10=$M60),"t","-")</f>
        <v>-</v>
      </c>
      <c r="X60" s="30"/>
      <c r="Y60" s="30"/>
      <c r="Z60" s="30"/>
      <c r="AA60" s="2"/>
      <c r="BL60" s="209" t="s">
        <v>293</v>
      </c>
      <c r="BM60" s="210" t="s">
        <v>295</v>
      </c>
      <c r="BN60" s="211" t="s">
        <v>306</v>
      </c>
      <c r="BO60" s="212" t="s">
        <v>315</v>
      </c>
    </row>
    <row r="61" spans="1:67" ht="20.100000000000001" hidden="1" customHeight="1" x14ac:dyDescent="0.15">
      <c r="A61" s="30"/>
      <c r="F61" s="55"/>
      <c r="G61" s="55"/>
      <c r="H61" s="55"/>
      <c r="I61" s="112"/>
      <c r="J61" s="2"/>
      <c r="K61" s="2" t="s">
        <v>180</v>
      </c>
      <c r="L61" s="66" t="s">
        <v>156</v>
      </c>
      <c r="M61" s="100" t="s">
        <v>786</v>
      </c>
      <c r="N61" s="55">
        <v>2.91</v>
      </c>
      <c r="O61" s="107">
        <v>0.28999999999999998</v>
      </c>
      <c r="P61" s="107">
        <v>0.19</v>
      </c>
      <c r="Q61" s="107">
        <v>0.08</v>
      </c>
      <c r="R61" s="56"/>
      <c r="S61" s="30" t="str">
        <f>IF(AND($G$6=$B$46,$I$6=$M61),"u","-")</f>
        <v>-</v>
      </c>
      <c r="T61" s="30" t="str">
        <f>IF(AND($G$7=$B$46,$I$7=$M61),"u","-")</f>
        <v>-</v>
      </c>
      <c r="U61" s="30" t="str">
        <f>IF(AND($G$8=$B$46,$I$8=$M61),"u","-")</f>
        <v>-</v>
      </c>
      <c r="V61" s="30" t="str">
        <f>IF(AND($G$9=$B$46,$I$9=$M61),"u","-")</f>
        <v>-</v>
      </c>
      <c r="W61" s="30" t="str">
        <f>IF(AND($G$10=$B$46,$I$10=$M61),"u","-")</f>
        <v>-</v>
      </c>
      <c r="X61" s="30"/>
      <c r="Y61" s="30"/>
      <c r="Z61" s="30"/>
      <c r="AA61" s="2"/>
      <c r="BL61" s="209" t="s">
        <v>294</v>
      </c>
      <c r="BM61" s="210" t="s">
        <v>296</v>
      </c>
      <c r="BN61" s="211" t="s">
        <v>307</v>
      </c>
      <c r="BO61" s="212" t="s">
        <v>316</v>
      </c>
    </row>
    <row r="62" spans="1:67" ht="20.100000000000001" hidden="1" customHeight="1" x14ac:dyDescent="0.15">
      <c r="A62" s="56"/>
      <c r="F62" s="55"/>
      <c r="G62" s="55"/>
      <c r="H62" s="55"/>
      <c r="I62" s="112"/>
      <c r="J62" s="2"/>
      <c r="K62" s="2" t="s">
        <v>181</v>
      </c>
      <c r="L62" s="66" t="s">
        <v>156</v>
      </c>
      <c r="M62" s="100" t="s">
        <v>306</v>
      </c>
      <c r="N62" s="55">
        <v>3.49</v>
      </c>
      <c r="O62" s="107">
        <v>0.44</v>
      </c>
      <c r="P62" s="107">
        <v>0.24</v>
      </c>
      <c r="Q62" s="107">
        <v>0.1</v>
      </c>
      <c r="R62" s="56"/>
      <c r="S62" s="30" t="str">
        <f>IF(AND($G$6=$B$46,$I$6=$M62),"v","-")</f>
        <v>-</v>
      </c>
      <c r="T62" s="30" t="str">
        <f>IF(AND($G$7=$B$46,$I$7=$M62),"v","-")</f>
        <v>-</v>
      </c>
      <c r="U62" s="30" t="str">
        <f>IF(AND($G$8=$B$46,$I$8=$M62),"v","-")</f>
        <v>-</v>
      </c>
      <c r="V62" s="30" t="str">
        <f>IF(AND($G$9=$B$46,$I$9=$M62),"v","-")</f>
        <v>-</v>
      </c>
      <c r="W62" s="30" t="str">
        <f>IF(AND($G$10=$B$46,$I$10=$M62),"v","-")</f>
        <v>-</v>
      </c>
      <c r="X62" s="30"/>
      <c r="Y62" s="30"/>
      <c r="Z62" s="30"/>
      <c r="AA62" s="2"/>
      <c r="BL62" s="209" t="s">
        <v>295</v>
      </c>
      <c r="BM62" s="210" t="s">
        <v>306</v>
      </c>
      <c r="BN62" s="211" t="s">
        <v>308</v>
      </c>
      <c r="BO62" s="212" t="s">
        <v>317</v>
      </c>
    </row>
    <row r="63" spans="1:67" ht="20.100000000000001" hidden="1" customHeight="1" x14ac:dyDescent="0.15">
      <c r="A63" s="30"/>
      <c r="F63" s="55"/>
      <c r="G63" s="55"/>
      <c r="H63" s="55"/>
      <c r="I63" s="112"/>
      <c r="J63" s="3"/>
      <c r="K63" s="2" t="s">
        <v>182</v>
      </c>
      <c r="L63" s="66" t="s">
        <v>156</v>
      </c>
      <c r="M63" s="100" t="s">
        <v>307</v>
      </c>
      <c r="N63" s="55">
        <v>3.49</v>
      </c>
      <c r="O63" s="107">
        <v>0.27</v>
      </c>
      <c r="P63" s="107">
        <v>0.17</v>
      </c>
      <c r="Q63" s="107">
        <v>7.0000000000000007E-2</v>
      </c>
      <c r="R63" s="56"/>
      <c r="S63" s="30" t="str">
        <f>IF(AND($G$6=$B$46,$I$6=$M63),"w","-")</f>
        <v>-</v>
      </c>
      <c r="T63" s="30" t="str">
        <f>IF(AND($G$7=$B$46,$I$7=$M63),"w","-")</f>
        <v>-</v>
      </c>
      <c r="U63" s="30" t="str">
        <f>IF(AND($G$8=$B$46,$I$8=$M63),"w","-")</f>
        <v>-</v>
      </c>
      <c r="V63" s="30" t="str">
        <f>IF(AND($G$9=$B$46,$I$9=$M63),"w","-")</f>
        <v>-</v>
      </c>
      <c r="W63" s="30" t="str">
        <f>IF(AND($G$10=$B$46,$I$10=$M63),"w","-")</f>
        <v>-</v>
      </c>
      <c r="X63" s="30"/>
      <c r="Y63" s="30"/>
      <c r="Z63" s="30"/>
      <c r="AA63" s="3"/>
      <c r="BL63" s="209" t="s">
        <v>296</v>
      </c>
      <c r="BM63" s="210" t="s">
        <v>307</v>
      </c>
      <c r="BN63" s="211" t="s">
        <v>309</v>
      </c>
      <c r="BO63" s="212" t="s">
        <v>318</v>
      </c>
    </row>
    <row r="64" spans="1:67" ht="20.100000000000001" hidden="1" customHeight="1" x14ac:dyDescent="0.15">
      <c r="A64" s="3"/>
      <c r="F64" s="113"/>
      <c r="G64" s="113"/>
      <c r="H64" s="113"/>
      <c r="I64" s="113"/>
      <c r="J64" s="3"/>
      <c r="K64" s="2" t="s">
        <v>183</v>
      </c>
      <c r="L64" s="66" t="s">
        <v>156</v>
      </c>
      <c r="M64" s="100" t="s">
        <v>308</v>
      </c>
      <c r="N64" s="55">
        <v>3.49</v>
      </c>
      <c r="O64" s="107">
        <v>0.12</v>
      </c>
      <c r="P64" s="107">
        <v>0.09</v>
      </c>
      <c r="Q64" s="107">
        <v>0.04</v>
      </c>
      <c r="R64" s="56"/>
      <c r="S64" s="30" t="str">
        <f>IF(AND($G$6=$B$46,$I$6=$M64),"x","-")</f>
        <v>-</v>
      </c>
      <c r="T64" s="30" t="str">
        <f>IF(AND($G$7=$B$46,$I$7=$M64),"x","-")</f>
        <v>-</v>
      </c>
      <c r="U64" s="30" t="str">
        <f>IF(AND($G$8=$B$46,$I$8=$M64),"x","-")</f>
        <v>-</v>
      </c>
      <c r="V64" s="30" t="str">
        <f>IF(AND($G$9=$B$46,$I$9=$M64),"x","-")</f>
        <v>-</v>
      </c>
      <c r="W64" s="30" t="str">
        <f>IF(AND($G$10=$B$46,$I$10=$M64),"x","-")</f>
        <v>-</v>
      </c>
      <c r="X64" s="30"/>
      <c r="Y64" s="30"/>
      <c r="Z64" s="30"/>
      <c r="AA64" s="3"/>
      <c r="BL64" s="209" t="s">
        <v>304</v>
      </c>
      <c r="BM64" s="210" t="s">
        <v>308</v>
      </c>
      <c r="BN64" s="211" t="s">
        <v>310</v>
      </c>
      <c r="BO64" s="212" t="s">
        <v>319</v>
      </c>
    </row>
    <row r="65" spans="1:67" ht="20.100000000000001" hidden="1" customHeight="1" x14ac:dyDescent="0.15">
      <c r="K65" s="2" t="s">
        <v>184</v>
      </c>
      <c r="L65" s="66" t="s">
        <v>156</v>
      </c>
      <c r="M65" s="100" t="s">
        <v>309</v>
      </c>
      <c r="N65" s="55">
        <v>3.49</v>
      </c>
      <c r="O65" s="107">
        <v>0.37</v>
      </c>
      <c r="P65" s="107">
        <v>0.2</v>
      </c>
      <c r="Q65" s="107">
        <v>0.09</v>
      </c>
      <c r="R65" s="56"/>
      <c r="S65" s="30" t="str">
        <f>IF(AND($G$6=$B$46,$I$6=$M65),"y","-")</f>
        <v>-</v>
      </c>
      <c r="T65" s="30" t="str">
        <f>IF(AND($G$7=$B$46,$I$7=$M65),"y","-")</f>
        <v>-</v>
      </c>
      <c r="U65" s="30" t="str">
        <f>IF(AND($G$8=$B$46,$I$8=$M65),"y","-")</f>
        <v>-</v>
      </c>
      <c r="V65" s="30" t="str">
        <f>IF(AND($G$9=$B$46,$I$9=$M65),"y","-")</f>
        <v>-</v>
      </c>
      <c r="W65" s="30" t="str">
        <f>IF(AND($G$10=$B$46,$I$10=$M65),"y","-")</f>
        <v>-</v>
      </c>
      <c r="X65" s="30"/>
      <c r="Y65" s="30"/>
      <c r="Z65" s="30"/>
      <c r="BL65" s="209" t="s">
        <v>305</v>
      </c>
      <c r="BM65" s="210" t="s">
        <v>309</v>
      </c>
      <c r="BN65" s="213"/>
      <c r="BO65" s="212" t="s">
        <v>301</v>
      </c>
    </row>
    <row r="66" spans="1:67" ht="20.100000000000001" hidden="1" customHeight="1" x14ac:dyDescent="0.15">
      <c r="K66" s="2" t="s">
        <v>185</v>
      </c>
      <c r="L66" s="66" t="s">
        <v>156</v>
      </c>
      <c r="M66" s="100" t="s">
        <v>310</v>
      </c>
      <c r="N66" s="55">
        <v>3.49</v>
      </c>
      <c r="O66" s="107">
        <v>0.56999999999999995</v>
      </c>
      <c r="P66" s="107">
        <v>0.27</v>
      </c>
      <c r="Q66" s="107">
        <v>0.12</v>
      </c>
      <c r="R66" s="56"/>
      <c r="S66" s="30" t="str">
        <f>IF(AND($G$6=$B$46,$I$6=$M66),"z","-")</f>
        <v>-</v>
      </c>
      <c r="T66" s="30" t="str">
        <f>IF(AND($G$7=$B$46,$I$7=$M66),"z","-")</f>
        <v>-</v>
      </c>
      <c r="U66" s="30" t="str">
        <f>IF(AND($G$8=$B$46,$I$8=$M66),"z","-")</f>
        <v>-</v>
      </c>
      <c r="V66" s="30" t="str">
        <f>IF(AND($G$9=$B$46,$I$9=$M66),"z","-")</f>
        <v>-</v>
      </c>
      <c r="W66" s="30" t="str">
        <f>IF(AND($G$10=$B$46,$I$10=$M66),"z","-")</f>
        <v>-</v>
      </c>
      <c r="X66" s="30"/>
      <c r="Y66" s="30"/>
      <c r="Z66" s="30"/>
      <c r="BL66" s="209" t="s">
        <v>785</v>
      </c>
      <c r="BM66" s="210" t="s">
        <v>310</v>
      </c>
      <c r="BN66" s="213"/>
      <c r="BO66" s="212" t="s">
        <v>320</v>
      </c>
    </row>
    <row r="67" spans="1:67" ht="20.100000000000001" hidden="1" customHeight="1" x14ac:dyDescent="0.15">
      <c r="K67" s="2" t="s">
        <v>188</v>
      </c>
      <c r="L67" s="66" t="s">
        <v>156</v>
      </c>
      <c r="M67" s="100" t="s">
        <v>277</v>
      </c>
      <c r="N67" s="105">
        <v>6.51</v>
      </c>
      <c r="O67" s="203">
        <v>0.63</v>
      </c>
      <c r="P67" s="203">
        <v>0.27</v>
      </c>
      <c r="Q67" s="203">
        <v>0.14000000000000001</v>
      </c>
      <c r="S67" s="30" t="str">
        <f>IF(AND($G$6=$B$46,$I$6=$M67),"aa","-")</f>
        <v>-</v>
      </c>
      <c r="T67" s="30" t="str">
        <f>IF(AND($G$7=$B$46,$I$7=$M67),"aa","-")</f>
        <v>-</v>
      </c>
      <c r="U67" s="30" t="str">
        <f>IF(AND($G$8=$B$46,$I$8=$M67),"aa","-")</f>
        <v>-</v>
      </c>
      <c r="V67" s="30" t="str">
        <f>IF(AND($G$9=$B$46,$I$9=$M67),"aa","-")</f>
        <v>-</v>
      </c>
      <c r="W67" s="30" t="str">
        <f>IF(AND($G$10=$B$46,$I$10=$M67),"aa","-")</f>
        <v>-</v>
      </c>
      <c r="X67" s="30"/>
      <c r="Y67" s="30"/>
      <c r="Z67" s="30"/>
      <c r="BL67" s="209" t="s">
        <v>786</v>
      </c>
      <c r="BM67" s="214"/>
      <c r="BN67" s="213"/>
      <c r="BO67" s="212" t="s">
        <v>321</v>
      </c>
    </row>
    <row r="68" spans="1:67" ht="20.100000000000001" hidden="1" customHeight="1" x14ac:dyDescent="0.15">
      <c r="A68" s="2"/>
      <c r="F68" s="2"/>
      <c r="G68" s="55"/>
      <c r="H68" s="55"/>
      <c r="I68" s="55"/>
      <c r="J68" s="55"/>
      <c r="K68" s="104" t="s">
        <v>189</v>
      </c>
      <c r="L68" s="66" t="s">
        <v>156</v>
      </c>
      <c r="M68" s="100" t="s">
        <v>278</v>
      </c>
      <c r="N68" s="105">
        <v>6.51</v>
      </c>
      <c r="O68" s="107">
        <v>0.49</v>
      </c>
      <c r="P68" s="107">
        <v>0.25</v>
      </c>
      <c r="Q68" s="107">
        <v>0.12</v>
      </c>
      <c r="R68" s="69"/>
      <c r="S68" s="30" t="str">
        <f>IF(AND($G$6=$B$46,$I$6=$M68),"bb","-")</f>
        <v>-</v>
      </c>
      <c r="T68" s="30" t="str">
        <f>IF(AND($G$7=$B$46,$I$7=$M68),"bb","-")</f>
        <v>-</v>
      </c>
      <c r="U68" s="30" t="str">
        <f>IF(AND($G$8=$B$46,$I$8=$M68),"bb","-")</f>
        <v>-</v>
      </c>
      <c r="V68" s="30" t="str">
        <f>IF(AND($G$9=$B$46,$I$9=$M68),"bb","-")</f>
        <v>-</v>
      </c>
      <c r="W68" s="30" t="str">
        <f>IF(AND($G$10=$B$46,$I$10=$M68),"bb","-")</f>
        <v>-</v>
      </c>
      <c r="X68" s="30"/>
      <c r="Y68" s="30"/>
      <c r="Z68" s="30"/>
      <c r="BL68" s="209" t="s">
        <v>306</v>
      </c>
      <c r="BM68" s="214"/>
      <c r="BN68" s="213"/>
      <c r="BO68" s="212" t="s">
        <v>278</v>
      </c>
    </row>
    <row r="69" spans="1:67" ht="20.100000000000001" hidden="1" customHeight="1" x14ac:dyDescent="0.15">
      <c r="A69" s="30"/>
      <c r="F69" s="2"/>
      <c r="G69" s="55"/>
      <c r="H69" s="55"/>
      <c r="I69" s="55"/>
      <c r="J69" s="55"/>
      <c r="K69" s="108" t="s">
        <v>190</v>
      </c>
      <c r="L69" s="66" t="s">
        <v>156</v>
      </c>
      <c r="M69" s="100" t="s">
        <v>279</v>
      </c>
      <c r="N69" s="105">
        <v>6.51</v>
      </c>
      <c r="O69" s="107">
        <v>0.35</v>
      </c>
      <c r="P69" s="107">
        <v>0.22</v>
      </c>
      <c r="Q69" s="107">
        <v>0.09</v>
      </c>
      <c r="R69" s="70"/>
      <c r="S69" s="30" t="str">
        <f>IF(AND($G$6=$B$46,$I$6=$M69),"cc","-")</f>
        <v>-</v>
      </c>
      <c r="T69" s="30" t="str">
        <f>IF(AND($G$7=$B$46,$I$7=$M69),"cc","-")</f>
        <v>-</v>
      </c>
      <c r="U69" s="30" t="str">
        <f>IF(AND($G$8=$B$46,$I$8=$M69),"cc","-")</f>
        <v>-</v>
      </c>
      <c r="V69" s="30" t="str">
        <f>IF(AND($G$9=$B$46,$I$9=$M69),"cc","-")</f>
        <v>-</v>
      </c>
      <c r="W69" s="30" t="str">
        <f>IF(AND($G$10=$B$46,$I$10=$M69),"cc","-")</f>
        <v>-</v>
      </c>
      <c r="X69" s="30"/>
      <c r="Y69" s="30"/>
      <c r="Z69" s="30"/>
      <c r="BL69" s="209" t="s">
        <v>307</v>
      </c>
      <c r="BM69" s="214"/>
      <c r="BN69" s="215"/>
      <c r="BO69" s="212" t="s">
        <v>279</v>
      </c>
    </row>
    <row r="70" spans="1:67" ht="20.100000000000001" hidden="1" customHeight="1" x14ac:dyDescent="0.15">
      <c r="A70" s="30"/>
      <c r="F70" s="2"/>
      <c r="G70" s="55"/>
      <c r="H70" s="55"/>
      <c r="I70" s="55"/>
      <c r="J70" s="55"/>
      <c r="K70" s="108" t="s">
        <v>191</v>
      </c>
      <c r="L70" s="66" t="s">
        <v>156</v>
      </c>
      <c r="M70" s="100" t="s">
        <v>280</v>
      </c>
      <c r="N70" s="105">
        <v>6.51</v>
      </c>
      <c r="O70" s="107">
        <v>0.17</v>
      </c>
      <c r="P70" s="107">
        <v>0.14000000000000001</v>
      </c>
      <c r="Q70" s="107">
        <v>0.06</v>
      </c>
      <c r="R70" s="70"/>
      <c r="S70" s="30" t="str">
        <f>IF(AND($G$6=$B$46,$I$6=$M70),"dd","-")</f>
        <v>-</v>
      </c>
      <c r="T70" s="30" t="str">
        <f>IF(AND($G$7=$B$46,$I$7=$M70),"dd","-")</f>
        <v>-</v>
      </c>
      <c r="U70" s="30" t="str">
        <f>IF(AND($G$8=$B$46,$I$8=$M70),"dd","-")</f>
        <v>-</v>
      </c>
      <c r="V70" s="30" t="str">
        <f>IF(AND($G$9=$B$46,$I$9=$M70),"dd","-")</f>
        <v>-</v>
      </c>
      <c r="W70" s="30" t="str">
        <f>IF(AND($G$10=$B$46,$I$10=$M70),"dd","-")</f>
        <v>-</v>
      </c>
      <c r="X70" s="30"/>
      <c r="Y70" s="30"/>
      <c r="Z70" s="30"/>
      <c r="BL70" s="209" t="s">
        <v>308</v>
      </c>
      <c r="BM70" s="214"/>
      <c r="BN70" s="215"/>
      <c r="BO70" s="212" t="s">
        <v>280</v>
      </c>
    </row>
    <row r="71" spans="1:67" ht="20.100000000000001" hidden="1" customHeight="1" x14ac:dyDescent="0.15">
      <c r="A71" s="30"/>
      <c r="F71" s="2"/>
      <c r="G71" s="55"/>
      <c r="H71" s="55"/>
      <c r="I71" s="55"/>
      <c r="J71" s="55"/>
      <c r="K71" s="108" t="s">
        <v>192</v>
      </c>
      <c r="L71" s="66" t="s">
        <v>156</v>
      </c>
      <c r="M71" s="100" t="s">
        <v>281</v>
      </c>
      <c r="N71" s="105">
        <v>6.51</v>
      </c>
      <c r="O71" s="107">
        <v>0.45</v>
      </c>
      <c r="P71" s="107">
        <v>0.24</v>
      </c>
      <c r="Q71" s="107">
        <v>0.11</v>
      </c>
      <c r="R71" s="70"/>
      <c r="S71" s="30" t="str">
        <f>IF(AND($G$6=$B$46,$I$6=$M71),"ee","-")</f>
        <v>-</v>
      </c>
      <c r="T71" s="30" t="str">
        <f>IF(AND($G$7=$B$46,$I$7=$M71),"ee","-")</f>
        <v>-</v>
      </c>
      <c r="U71" s="30" t="str">
        <f>IF(AND($G$8=$B$46,$I$8=$M71),"ee","-")</f>
        <v>-</v>
      </c>
      <c r="V71" s="30" t="str">
        <f>IF(AND($G$9=$B$46,$I$9=$M71),"ee","-")</f>
        <v>-</v>
      </c>
      <c r="W71" s="30" t="str">
        <f>IF(AND($G$10=$B$46,$I$10=$M71),"ee","-")</f>
        <v>-</v>
      </c>
      <c r="X71" s="30"/>
      <c r="Y71" s="30"/>
      <c r="Z71" s="30"/>
      <c r="BL71" s="209" t="s">
        <v>309</v>
      </c>
      <c r="BM71" s="214"/>
      <c r="BN71" s="215"/>
      <c r="BO71" s="212" t="s">
        <v>322</v>
      </c>
    </row>
    <row r="72" spans="1:67" ht="20.100000000000001" hidden="1" customHeight="1" x14ac:dyDescent="0.15">
      <c r="A72" s="30"/>
      <c r="F72" s="2"/>
      <c r="G72" s="55"/>
      <c r="H72" s="55"/>
      <c r="I72" s="55"/>
      <c r="J72" s="55"/>
      <c r="K72" s="108" t="s">
        <v>193</v>
      </c>
      <c r="L72" s="30" t="s">
        <v>157</v>
      </c>
      <c r="M72" s="101" t="s">
        <v>297</v>
      </c>
      <c r="N72" s="106">
        <v>2.15</v>
      </c>
      <c r="O72" s="107">
        <v>0.51</v>
      </c>
      <c r="P72" s="107">
        <v>0.3</v>
      </c>
      <c r="Q72" s="107">
        <v>0.12</v>
      </c>
      <c r="R72" s="70"/>
      <c r="S72" s="30" t="str">
        <f>IF(AND($G$6=$B$47,$I$6=$M72),"ff","-")</f>
        <v>-</v>
      </c>
      <c r="T72" s="30" t="str">
        <f>IF(AND($G$7=$B$47,$I$7=$M72),"ff","-")</f>
        <v>-</v>
      </c>
      <c r="U72" s="30" t="str">
        <f>IF(AND($G$8=$B$47,$I$8=$M72),"ff","-")</f>
        <v>-</v>
      </c>
      <c r="V72" s="30" t="str">
        <f>IF(AND($G$9=$B$47,$I$9=$M72),"ff","-")</f>
        <v>-</v>
      </c>
      <c r="W72" s="30" t="str">
        <f>IF(AND($G$10=$B$47,$I$10=$M72),"ff","-")</f>
        <v>-</v>
      </c>
      <c r="X72" s="30"/>
      <c r="Y72" s="30"/>
      <c r="Z72" s="30"/>
      <c r="BL72" s="209" t="s">
        <v>310</v>
      </c>
      <c r="BM72" s="215"/>
      <c r="BN72" s="215"/>
      <c r="BO72" s="215"/>
    </row>
    <row r="73" spans="1:67" ht="20.100000000000001" hidden="1" customHeight="1" x14ac:dyDescent="0.15">
      <c r="A73" s="30"/>
      <c r="F73" s="2"/>
      <c r="G73" s="55"/>
      <c r="H73" s="55"/>
      <c r="I73" s="55"/>
      <c r="J73" s="55"/>
      <c r="K73" s="108" t="s">
        <v>194</v>
      </c>
      <c r="L73" s="30" t="s">
        <v>157</v>
      </c>
      <c r="M73" s="101" t="s">
        <v>298</v>
      </c>
      <c r="N73" s="106">
        <v>2.15</v>
      </c>
      <c r="O73" s="107">
        <v>0.32</v>
      </c>
      <c r="P73" s="107">
        <v>0.21</v>
      </c>
      <c r="Q73" s="107">
        <v>0.09</v>
      </c>
      <c r="R73" s="70"/>
      <c r="S73" s="30" t="str">
        <f>IF(AND($G$6=$B$47,$I$6=$M73),"gg","-")</f>
        <v>-</v>
      </c>
      <c r="T73" s="30" t="str">
        <f>IF(AND($G$7=$B$47,$I$7=$M73),"gg","-")</f>
        <v>-</v>
      </c>
      <c r="U73" s="30" t="str">
        <f>IF(AND($G$8=$B$47,$I$8=$M73),"gg","-")</f>
        <v>-</v>
      </c>
      <c r="V73" s="30" t="str">
        <f>IF(AND($G$9=$B$47,$I$9=$M73),"gg","-")</f>
        <v>-</v>
      </c>
      <c r="W73" s="30" t="str">
        <f>IF(AND($G$10=$B$47,$I$10=$M73),"gg","-")</f>
        <v>-</v>
      </c>
      <c r="X73" s="30"/>
      <c r="Y73" s="30"/>
      <c r="Z73" s="30"/>
      <c r="BL73" s="209" t="s">
        <v>277</v>
      </c>
      <c r="BM73" s="216"/>
      <c r="BN73" s="216"/>
      <c r="BO73" s="216"/>
    </row>
    <row r="74" spans="1:67" ht="20.100000000000001" hidden="1" customHeight="1" x14ac:dyDescent="0.15">
      <c r="A74" s="30"/>
      <c r="F74" s="2"/>
      <c r="G74" s="55"/>
      <c r="H74" s="55"/>
      <c r="I74" s="55"/>
      <c r="J74" s="55"/>
      <c r="K74" s="108" t="s">
        <v>195</v>
      </c>
      <c r="L74" s="30" t="s">
        <v>157</v>
      </c>
      <c r="M74" s="101" t="s">
        <v>290</v>
      </c>
      <c r="N74" s="106">
        <v>2.33</v>
      </c>
      <c r="O74" s="107">
        <v>0.51</v>
      </c>
      <c r="P74" s="107">
        <v>0.3</v>
      </c>
      <c r="Q74" s="107">
        <v>0.12</v>
      </c>
      <c r="R74" s="70"/>
      <c r="S74" s="30" t="str">
        <f>IF(AND($G$6=$B$47,$I$6=$M74),"hh","-")</f>
        <v>-</v>
      </c>
      <c r="T74" s="30" t="str">
        <f>IF(AND($G$7=$B$47,$I$7=$M74),"hh","-")</f>
        <v>-</v>
      </c>
      <c r="U74" s="30" t="str">
        <f>IF(AND($G$8=$B$47,$I$8=$M74),"hh","-")</f>
        <v>-</v>
      </c>
      <c r="V74" s="30" t="str">
        <f>IF(AND($G$9=$B$47,$I$9=$M74),"hh","-")</f>
        <v>-</v>
      </c>
      <c r="W74" s="30" t="str">
        <f>IF(AND($G$10=$B$47,$I$10=$M74),"hh","-")</f>
        <v>-</v>
      </c>
      <c r="X74" s="30"/>
      <c r="Y74" s="30"/>
      <c r="Z74" s="30"/>
      <c r="BL74" s="209" t="s">
        <v>278</v>
      </c>
      <c r="BM74" s="215"/>
      <c r="BN74" s="215"/>
      <c r="BO74" s="215"/>
    </row>
    <row r="75" spans="1:67" ht="20.100000000000001" hidden="1" customHeight="1" x14ac:dyDescent="0.15">
      <c r="A75" s="30"/>
      <c r="F75" s="6"/>
      <c r="G75" s="55"/>
      <c r="H75" s="55"/>
      <c r="I75" s="55"/>
      <c r="J75" s="55"/>
      <c r="K75" s="108" t="s">
        <v>196</v>
      </c>
      <c r="L75" s="30" t="s">
        <v>157</v>
      </c>
      <c r="M75" s="101" t="s">
        <v>291</v>
      </c>
      <c r="N75" s="106">
        <v>2.33</v>
      </c>
      <c r="O75" s="107">
        <v>0.32</v>
      </c>
      <c r="P75" s="107">
        <v>0.21</v>
      </c>
      <c r="Q75" s="107">
        <v>0.09</v>
      </c>
      <c r="R75" s="70"/>
      <c r="S75" s="30" t="str">
        <f>IF(AND($G$6=$B$47,$I$6=$M75),"ii","-")</f>
        <v>-</v>
      </c>
      <c r="T75" s="30" t="str">
        <f>IF(AND($G$7=$B$47,$I$7=$M75),"ii","-")</f>
        <v>-</v>
      </c>
      <c r="U75" s="30" t="str">
        <f>IF(AND($G$8=$B$47,$I$8=$M75),"ii","-")</f>
        <v>-</v>
      </c>
      <c r="V75" s="30" t="str">
        <f>IF(AND($G$9=$B$47,$I$9=$M75),"ii","-")</f>
        <v>-</v>
      </c>
      <c r="W75" s="30" t="str">
        <f>IF(AND($G$10=$B$47,$I$10=$M75),"ii","-")</f>
        <v>-</v>
      </c>
      <c r="X75" s="30"/>
      <c r="Y75" s="30"/>
      <c r="Z75" s="30"/>
      <c r="BL75" s="209" t="s">
        <v>279</v>
      </c>
      <c r="BM75" s="215"/>
      <c r="BN75" s="215"/>
      <c r="BO75" s="215"/>
    </row>
    <row r="76" spans="1:67" ht="20.100000000000001" hidden="1" customHeight="1" x14ac:dyDescent="0.15">
      <c r="A76" s="30"/>
      <c r="F76" s="6"/>
      <c r="G76" s="68"/>
      <c r="H76" s="68"/>
      <c r="I76" s="29"/>
      <c r="J76" s="29"/>
      <c r="K76" s="109" t="s">
        <v>197</v>
      </c>
      <c r="L76" s="30" t="s">
        <v>157</v>
      </c>
      <c r="M76" s="101" t="s">
        <v>311</v>
      </c>
      <c r="N76" s="106">
        <v>2.33</v>
      </c>
      <c r="O76" s="107">
        <v>0.51</v>
      </c>
      <c r="P76" s="107">
        <v>0.3</v>
      </c>
      <c r="Q76" s="107">
        <v>0.12</v>
      </c>
      <c r="R76" s="70"/>
      <c r="S76" s="30" t="str">
        <f>IF(AND($G$6=$B$47,$I$6=$M76),"jj","-")</f>
        <v>-</v>
      </c>
      <c r="T76" s="30" t="str">
        <f>IF(AND($G$7=$B$47,$I$7=$M76),"jj","-")</f>
        <v>-</v>
      </c>
      <c r="U76" s="30" t="str">
        <f>IF(AND($G$8=$B$47,$I$8=$M76),"jj","-")</f>
        <v>-</v>
      </c>
      <c r="V76" s="30" t="str">
        <f>IF(AND($G$9=$B$47,$I$9=$M76),"jj","-")</f>
        <v>-</v>
      </c>
      <c r="W76" s="30" t="str">
        <f>IF(AND($G$10=$B$47,$I$10=$M76),"jj","-")</f>
        <v>-</v>
      </c>
      <c r="X76" s="30"/>
      <c r="Y76" s="30"/>
      <c r="Z76" s="30"/>
      <c r="BL76" s="209" t="s">
        <v>280</v>
      </c>
      <c r="BM76" s="215"/>
      <c r="BN76" s="215"/>
      <c r="BO76" s="215"/>
    </row>
    <row r="77" spans="1:67" ht="20.100000000000001" hidden="1" customHeight="1" x14ac:dyDescent="0.15">
      <c r="A77" s="30"/>
      <c r="F77" s="6"/>
      <c r="G77" s="68"/>
      <c r="H77" s="68"/>
      <c r="K77" s="109" t="s">
        <v>198</v>
      </c>
      <c r="L77" s="30" t="s">
        <v>157</v>
      </c>
      <c r="M77" s="101" t="s">
        <v>312</v>
      </c>
      <c r="N77" s="106">
        <v>2.33</v>
      </c>
      <c r="O77" s="107">
        <v>0.32</v>
      </c>
      <c r="P77" s="107">
        <v>0.21</v>
      </c>
      <c r="Q77" s="107">
        <v>0.09</v>
      </c>
      <c r="R77" s="70"/>
      <c r="S77" s="30" t="str">
        <f>IF(AND($G$6=$B$47,$I$6=$M77),"kk","-")</f>
        <v>-</v>
      </c>
      <c r="T77" s="30" t="str">
        <f>IF(AND($G$7=$B$47,$I$7=$M77),"kk","-")</f>
        <v>-</v>
      </c>
      <c r="U77" s="30" t="str">
        <f>IF(AND($G$8=$B$47,$I$8=$M77),"kk","-")</f>
        <v>-</v>
      </c>
      <c r="V77" s="30" t="str">
        <f>IF(AND($G$9=$B$47,$I$9=$M77),"kk","-")</f>
        <v>-</v>
      </c>
      <c r="W77" s="30" t="str">
        <f>IF(AND($G$10=$B$47,$I$10=$M77),"kk","-")</f>
        <v>-</v>
      </c>
      <c r="X77" s="30"/>
      <c r="Y77" s="30"/>
      <c r="Z77" s="30"/>
      <c r="BL77" s="209" t="s">
        <v>281</v>
      </c>
      <c r="BM77" s="215"/>
      <c r="BN77" s="215"/>
      <c r="BO77" s="215"/>
    </row>
    <row r="78" spans="1:67" ht="20.100000000000001" hidden="1" customHeight="1" x14ac:dyDescent="0.15">
      <c r="A78" s="30"/>
      <c r="F78" s="6"/>
      <c r="G78" s="68"/>
      <c r="H78" s="68"/>
      <c r="K78" s="109" t="s">
        <v>199</v>
      </c>
      <c r="L78" s="30" t="s">
        <v>157</v>
      </c>
      <c r="M78" s="101" t="s">
        <v>304</v>
      </c>
      <c r="N78" s="106">
        <v>3.49</v>
      </c>
      <c r="O78" s="107">
        <v>0.51</v>
      </c>
      <c r="P78" s="107">
        <v>0.3</v>
      </c>
      <c r="Q78" s="107">
        <v>0.12</v>
      </c>
      <c r="R78" s="70"/>
      <c r="S78" s="30" t="str">
        <f>IF(AND($G$6=$B$47,$I$6=$M78),"ll","-")</f>
        <v>-</v>
      </c>
      <c r="T78" s="30" t="str">
        <f>IF(AND($G$7=$B$47,$I$7=$M78),"ll","-")</f>
        <v>-</v>
      </c>
      <c r="U78" s="30" t="str">
        <f>IF(AND($G$8=$B$47,$I$8=$M78),"ll","-")</f>
        <v>-</v>
      </c>
      <c r="V78" s="30" t="str">
        <f>IF(AND($G$9=$B$47,$I$9=$M78),"ll","-")</f>
        <v>-</v>
      </c>
      <c r="W78" s="30" t="str">
        <f>IF(AND($G$10=$B$47,$I$10=$M78),"ll","-")</f>
        <v>-</v>
      </c>
      <c r="X78" s="30"/>
      <c r="Y78" s="30"/>
      <c r="Z78" s="30"/>
    </row>
    <row r="79" spans="1:67" ht="20.100000000000001" hidden="1" customHeight="1" x14ac:dyDescent="0.15">
      <c r="A79" s="30"/>
      <c r="F79" s="6"/>
      <c r="G79" s="68"/>
      <c r="H79" s="68"/>
      <c r="K79" s="109" t="s">
        <v>200</v>
      </c>
      <c r="L79" s="30" t="s">
        <v>157</v>
      </c>
      <c r="M79" s="101" t="s">
        <v>305</v>
      </c>
      <c r="N79" s="106">
        <v>3.49</v>
      </c>
      <c r="O79" s="107">
        <v>0.32</v>
      </c>
      <c r="P79" s="107">
        <v>0.21</v>
      </c>
      <c r="Q79" s="107">
        <v>0.09</v>
      </c>
      <c r="R79" s="70"/>
      <c r="S79" s="30" t="str">
        <f>IF(AND($G$6=$B$47,$I$6=$M79),"mm","-")</f>
        <v>-</v>
      </c>
      <c r="T79" s="30" t="str">
        <f>IF(AND($G$7=$B$47,$I$7=$M79),"mm","-")</f>
        <v>-</v>
      </c>
      <c r="U79" s="30" t="str">
        <f>IF(AND($G$8=$B$47,$I$8=$M79),"mm","-")</f>
        <v>-</v>
      </c>
      <c r="V79" s="30" t="str">
        <f>IF(AND($G$9=$B$47,$I$9=$M79),"mm","-")</f>
        <v>-</v>
      </c>
      <c r="W79" s="30" t="str">
        <f>IF(AND($G$10=$B$47,$I$10=$M79),"mm","-")</f>
        <v>-</v>
      </c>
      <c r="X79" s="30"/>
      <c r="Y79" s="30"/>
      <c r="Z79" s="30"/>
    </row>
    <row r="80" spans="1:67" ht="20.100000000000001" hidden="1" customHeight="1" x14ac:dyDescent="0.15">
      <c r="A80" s="30"/>
      <c r="F80" s="6"/>
      <c r="G80" s="68"/>
      <c r="H80" s="68"/>
      <c r="K80" s="109" t="s">
        <v>201</v>
      </c>
      <c r="L80" s="30" t="s">
        <v>157</v>
      </c>
      <c r="M80" s="101" t="s">
        <v>785</v>
      </c>
      <c r="N80" s="106">
        <v>3.49</v>
      </c>
      <c r="O80" s="107">
        <v>0.51</v>
      </c>
      <c r="P80" s="107">
        <v>0.3</v>
      </c>
      <c r="Q80" s="107">
        <v>0.12</v>
      </c>
      <c r="R80" s="70"/>
      <c r="S80" s="30" t="str">
        <f>IF(AND($G$6=$B$47,$I$6=$M80),"nn","-")</f>
        <v>-</v>
      </c>
      <c r="T80" s="30" t="str">
        <f>IF(AND($G$7=$B$47,$I$7=$M80),"nn","-")</f>
        <v>-</v>
      </c>
      <c r="U80" s="30" t="str">
        <f>IF(AND($G$8=$B$47,$I$8=$M80),"nn","-")</f>
        <v>-</v>
      </c>
      <c r="V80" s="30" t="str">
        <f>IF(AND($G$9=$B$47,$I$9=$M80),"nn","-")</f>
        <v>-</v>
      </c>
      <c r="W80" s="30" t="str">
        <f>IF(AND($G$10=$B$47,$I$10=$M80),"nn","-")</f>
        <v>-</v>
      </c>
      <c r="X80" s="30"/>
      <c r="Y80" s="30"/>
      <c r="Z80" s="30"/>
    </row>
    <row r="81" spans="1:26" ht="20.100000000000001" hidden="1" customHeight="1" x14ac:dyDescent="0.15">
      <c r="A81" s="30"/>
      <c r="F81" s="6"/>
      <c r="G81" s="68"/>
      <c r="H81" s="68"/>
      <c r="K81" s="109" t="s">
        <v>202</v>
      </c>
      <c r="L81" s="30" t="s">
        <v>157</v>
      </c>
      <c r="M81" s="101" t="s">
        <v>786</v>
      </c>
      <c r="N81" s="106">
        <v>3.49</v>
      </c>
      <c r="O81" s="107">
        <v>0.32</v>
      </c>
      <c r="P81" s="107">
        <v>0.21</v>
      </c>
      <c r="Q81" s="107">
        <v>0.09</v>
      </c>
      <c r="R81" s="70"/>
      <c r="S81" s="30" t="str">
        <f>IF(AND($G$6=$B$47,$I$6=$M81),"oo","-")</f>
        <v>-</v>
      </c>
      <c r="T81" s="30" t="str">
        <f>IF(AND($G$7=$B$47,$I$7=$M81),"oo","-")</f>
        <v>-</v>
      </c>
      <c r="U81" s="30" t="str">
        <f>IF(AND($G$8=$B$47,$I$8=$M81),"oo","-")</f>
        <v>-</v>
      </c>
      <c r="V81" s="30" t="str">
        <f>IF(AND($G$9=$B$47,$I$9=$M81),"oo","-")</f>
        <v>-</v>
      </c>
      <c r="W81" s="30" t="str">
        <f>IF(AND($G$10=$B$47,$I$10=$M81),"oo","-")</f>
        <v>-</v>
      </c>
      <c r="X81" s="30"/>
      <c r="Y81" s="30"/>
      <c r="Z81" s="30"/>
    </row>
    <row r="82" spans="1:26" ht="20.100000000000001" hidden="1" customHeight="1" x14ac:dyDescent="0.15">
      <c r="H82" s="57"/>
      <c r="K82" s="109" t="s">
        <v>203</v>
      </c>
      <c r="L82" s="30" t="s">
        <v>157</v>
      </c>
      <c r="M82" s="101" t="s">
        <v>292</v>
      </c>
      <c r="N82" s="106">
        <v>3.49</v>
      </c>
      <c r="O82" s="107">
        <v>0.49</v>
      </c>
      <c r="P82" s="107">
        <v>0.26</v>
      </c>
      <c r="Q82" s="107">
        <v>0.11</v>
      </c>
      <c r="R82" s="70"/>
      <c r="S82" s="30" t="str">
        <f>IF(AND($G$6=$B$47,$I$6=$M82),"pp","-")</f>
        <v>-</v>
      </c>
      <c r="T82" s="30" t="str">
        <f>IF(AND($G$7=$B$47,$I$7=$M82),"pp","-")</f>
        <v>-</v>
      </c>
      <c r="U82" s="30" t="str">
        <f>IF(AND($G$8=$B$47,$I$8=$M82),"pp","-")</f>
        <v>-</v>
      </c>
      <c r="V82" s="30" t="str">
        <f>IF(AND($G$9=$B$47,$I$9=$M82),"pp","-")</f>
        <v>-</v>
      </c>
      <c r="W82" s="30" t="str">
        <f>IF(AND($G$10=$B$47,$I$10=$M82),"pp","-")</f>
        <v>-</v>
      </c>
      <c r="X82" s="30"/>
      <c r="Y82" s="30"/>
      <c r="Z82" s="30"/>
    </row>
    <row r="83" spans="1:26" ht="20.100000000000001" hidden="1" customHeight="1" x14ac:dyDescent="0.15">
      <c r="H83" s="2"/>
      <c r="K83" s="109" t="s">
        <v>204</v>
      </c>
      <c r="L83" s="30" t="s">
        <v>157</v>
      </c>
      <c r="M83" s="101" t="s">
        <v>293</v>
      </c>
      <c r="N83" s="106">
        <v>3.49</v>
      </c>
      <c r="O83" s="107">
        <v>0.3</v>
      </c>
      <c r="P83" s="107">
        <v>0.19</v>
      </c>
      <c r="Q83" s="107">
        <v>0.08</v>
      </c>
      <c r="R83" s="70"/>
      <c r="S83" s="30" t="str">
        <f>IF(AND($G$6=$B$47,$I$6=$M83),"qq","-")</f>
        <v>-</v>
      </c>
      <c r="T83" s="30" t="str">
        <f>IF(AND($G$7=$B$47,$I$7=$M83),"qq","-")</f>
        <v>-</v>
      </c>
      <c r="U83" s="30" t="str">
        <f>IF(AND($G$8=$B$47,$I$8=$M83),"qq","-")</f>
        <v>-</v>
      </c>
      <c r="V83" s="30" t="str">
        <f>IF(AND($G$9=$B$47,$I$9=$M83),"qq","-")</f>
        <v>-</v>
      </c>
      <c r="W83" s="30" t="str">
        <f>IF(AND($G$10=$B$47,$I$10=$M83),"qq","-")</f>
        <v>-</v>
      </c>
      <c r="X83" s="30"/>
      <c r="Y83" s="30"/>
      <c r="Z83" s="30"/>
    </row>
    <row r="84" spans="1:26" ht="20.100000000000001" hidden="1" customHeight="1" x14ac:dyDescent="0.15">
      <c r="H84" s="2"/>
      <c r="K84" s="109" t="s">
        <v>205</v>
      </c>
      <c r="L84" s="30" t="s">
        <v>157</v>
      </c>
      <c r="M84" s="101" t="s">
        <v>294</v>
      </c>
      <c r="N84" s="106">
        <v>3.49</v>
      </c>
      <c r="O84" s="107">
        <v>0.13</v>
      </c>
      <c r="P84" s="107">
        <v>0.1</v>
      </c>
      <c r="Q84" s="107">
        <v>0.05</v>
      </c>
      <c r="R84" s="70"/>
      <c r="S84" s="30" t="str">
        <f>IF(AND($G$6=$B$47,$I$6=$M84),"rr","-")</f>
        <v>-</v>
      </c>
      <c r="T84" s="30" t="str">
        <f>IF(AND($G$7=$B$47,$I$7=$M84),"rr","-")</f>
        <v>-</v>
      </c>
      <c r="U84" s="30" t="str">
        <f>IF(AND($G$8=$B$47,$I$8=$M84),"rr","-")</f>
        <v>-</v>
      </c>
      <c r="V84" s="30" t="str">
        <f>IF(AND($G$9=$B$47,$I$9=$M84),"rr","-")</f>
        <v>-</v>
      </c>
      <c r="W84" s="30" t="str">
        <f>IF(AND($G$10=$B$47,$I$10=$M84),"rr","-")</f>
        <v>-</v>
      </c>
      <c r="X84" s="30"/>
      <c r="Y84" s="30"/>
      <c r="Z84" s="30"/>
    </row>
    <row r="85" spans="1:26" ht="20.100000000000001" hidden="1" customHeight="1" x14ac:dyDescent="0.15">
      <c r="H85" s="2"/>
      <c r="K85" s="109" t="s">
        <v>206</v>
      </c>
      <c r="L85" s="30" t="s">
        <v>157</v>
      </c>
      <c r="M85" s="101" t="s">
        <v>295</v>
      </c>
      <c r="N85" s="106">
        <v>3.49</v>
      </c>
      <c r="O85" s="107">
        <v>0.42</v>
      </c>
      <c r="P85" s="107">
        <v>0.22</v>
      </c>
      <c r="Q85" s="107">
        <v>0.1</v>
      </c>
      <c r="R85" s="70"/>
      <c r="S85" s="30" t="str">
        <f>IF(AND($G$6=$B$47,$I$6=$M85),"ss","-")</f>
        <v>-</v>
      </c>
      <c r="T85" s="30" t="str">
        <f>IF(AND($G$7=$B$47,$I$7=$M85),"ss","-")</f>
        <v>-</v>
      </c>
      <c r="U85" s="30" t="str">
        <f>IF(AND($G$8=$B$47,$I$8=$M85),"ss","-")</f>
        <v>-</v>
      </c>
      <c r="V85" s="30" t="str">
        <f>IF(AND($G$9=$B$47,$I$9=$M85),"ss","-")</f>
        <v>-</v>
      </c>
      <c r="W85" s="30" t="str">
        <f>IF(AND($G$10=$B$47,$I$10=$M85),"ss","-")</f>
        <v>-</v>
      </c>
      <c r="X85" s="30"/>
      <c r="Y85" s="30"/>
      <c r="Z85" s="30"/>
    </row>
    <row r="86" spans="1:26" ht="20.100000000000001" hidden="1" customHeight="1" x14ac:dyDescent="0.15">
      <c r="H86" s="2"/>
      <c r="K86" s="109" t="s">
        <v>207</v>
      </c>
      <c r="L86" s="30" t="s">
        <v>157</v>
      </c>
      <c r="M86" s="101" t="s">
        <v>296</v>
      </c>
      <c r="N86" s="106">
        <v>3.49</v>
      </c>
      <c r="O86" s="107">
        <v>0.63</v>
      </c>
      <c r="P86" s="107">
        <v>0.3</v>
      </c>
      <c r="Q86" s="107">
        <v>0.14000000000000001</v>
      </c>
      <c r="R86" s="70"/>
      <c r="S86" s="30" t="str">
        <f>IF(AND($G$6=$B$47,$I$6=$M86),"tt","-")</f>
        <v>-</v>
      </c>
      <c r="T86" s="30" t="str">
        <f>IF(AND($G$7=$B$47,$I$7=$M86),"tt","-")</f>
        <v>-</v>
      </c>
      <c r="U86" s="30" t="str">
        <f>IF(AND($G$8=$B$47,$I$8=$M86),"tt","-")</f>
        <v>-</v>
      </c>
      <c r="V86" s="30" t="str">
        <f>IF(AND($G$9=$B$47,$I$9=$M86),"tt","-")</f>
        <v>-</v>
      </c>
      <c r="W86" s="30" t="str">
        <f>IF(AND($G$10=$B$47,$I$10=$M86),"tt","-")</f>
        <v>-</v>
      </c>
      <c r="X86" s="30"/>
      <c r="Y86" s="30"/>
      <c r="Z86" s="30"/>
    </row>
    <row r="87" spans="1:26" ht="20.100000000000001" hidden="1" customHeight="1" x14ac:dyDescent="0.15">
      <c r="H87" s="2"/>
      <c r="K87" s="109" t="s">
        <v>208</v>
      </c>
      <c r="L87" s="30" t="s">
        <v>157</v>
      </c>
      <c r="M87" s="101" t="s">
        <v>306</v>
      </c>
      <c r="N87" s="106">
        <v>4.07</v>
      </c>
      <c r="O87" s="107">
        <v>0.49</v>
      </c>
      <c r="P87" s="107">
        <v>0.26</v>
      </c>
      <c r="Q87" s="107">
        <v>0.11</v>
      </c>
      <c r="R87" s="70"/>
      <c r="S87" s="30" t="str">
        <f>IF(AND($G$6=$B$47,$I$6=$M87),"uu","-")</f>
        <v>-</v>
      </c>
      <c r="T87" s="30" t="str">
        <f>IF(AND($G$7=$B$47,$I$7=$M87),"uu","-")</f>
        <v>-</v>
      </c>
      <c r="U87" s="30" t="str">
        <f>IF(AND($G$8=$B$47,$I$8=$M87),"uu","-")</f>
        <v>-</v>
      </c>
      <c r="V87" s="30" t="str">
        <f>IF(AND($G$9=$B$47,$I$9=$M87),"uu","-")</f>
        <v>-</v>
      </c>
      <c r="W87" s="30" t="str">
        <f>IF(AND($G$10=$B$47,$I$10=$M87),"uu","-")</f>
        <v>-</v>
      </c>
      <c r="X87" s="30"/>
      <c r="Y87" s="30"/>
      <c r="Z87" s="30"/>
    </row>
    <row r="88" spans="1:26" ht="20.100000000000001" hidden="1" customHeight="1" x14ac:dyDescent="0.15">
      <c r="H88" s="2"/>
      <c r="K88" s="109" t="s">
        <v>209</v>
      </c>
      <c r="L88" s="30" t="s">
        <v>157</v>
      </c>
      <c r="M88" s="101" t="s">
        <v>307</v>
      </c>
      <c r="N88" s="106">
        <v>4.07</v>
      </c>
      <c r="O88" s="107">
        <v>0.3</v>
      </c>
      <c r="P88" s="107">
        <v>0.19</v>
      </c>
      <c r="Q88" s="107">
        <v>0.08</v>
      </c>
      <c r="R88" s="70"/>
      <c r="S88" s="30" t="str">
        <f>IF(AND($G$6=$B$47,$I$6=$M88),"vv","-")</f>
        <v>-</v>
      </c>
      <c r="T88" s="30" t="str">
        <f>IF(AND($G$7=$B$47,$I$7=$M88),"vv","-")</f>
        <v>-</v>
      </c>
      <c r="U88" s="30" t="str">
        <f>IF(AND($G$8=$B$47,$I$8=$M88),"vv","-")</f>
        <v>-</v>
      </c>
      <c r="V88" s="30" t="str">
        <f>IF(AND($G$9=$B$47,$I$9=$M88),"vv","-")</f>
        <v>-</v>
      </c>
      <c r="W88" s="30" t="str">
        <f>IF(AND($G$10=$B$47,$I$10=$M88),"vv","-")</f>
        <v>-</v>
      </c>
      <c r="X88" s="30"/>
      <c r="Y88" s="30"/>
      <c r="Z88" s="30"/>
    </row>
    <row r="89" spans="1:26" ht="20.100000000000001" hidden="1" customHeight="1" x14ac:dyDescent="0.15">
      <c r="H89" s="2"/>
      <c r="K89" s="109" t="s">
        <v>211</v>
      </c>
      <c r="L89" s="30" t="s">
        <v>157</v>
      </c>
      <c r="M89" s="101" t="s">
        <v>308</v>
      </c>
      <c r="N89" s="106">
        <v>4.07</v>
      </c>
      <c r="O89" s="107">
        <v>0.13</v>
      </c>
      <c r="P89" s="107">
        <v>0.1</v>
      </c>
      <c r="Q89" s="107">
        <v>0.05</v>
      </c>
      <c r="R89" s="70"/>
      <c r="S89" s="30" t="str">
        <f>IF(AND($G$6=$B$47,$I$6=$M89),"ww","-")</f>
        <v>-</v>
      </c>
      <c r="T89" s="30" t="str">
        <f>IF(AND($G$7=$B$47,$I$7=$M89),"ww","-")</f>
        <v>-</v>
      </c>
      <c r="U89" s="30" t="str">
        <f>IF(AND($G$8=$B$47,$I$8=$M89),"ww","-")</f>
        <v>-</v>
      </c>
      <c r="V89" s="30" t="str">
        <f>IF(AND($G$9=$B$47,$I$9=$M89),"ww","-")</f>
        <v>-</v>
      </c>
      <c r="W89" s="30" t="str">
        <f>IF(AND($G$10=$B$47,$I$10=$M89),"ww","-")</f>
        <v>-</v>
      </c>
      <c r="X89" s="30"/>
      <c r="Y89" s="30"/>
      <c r="Z89" s="30"/>
    </row>
    <row r="90" spans="1:26" ht="20.100000000000001" hidden="1" customHeight="1" x14ac:dyDescent="0.15">
      <c r="H90" s="2"/>
      <c r="K90" s="109" t="s">
        <v>212</v>
      </c>
      <c r="L90" s="30" t="s">
        <v>157</v>
      </c>
      <c r="M90" s="101" t="s">
        <v>309</v>
      </c>
      <c r="N90" s="106">
        <v>4.07</v>
      </c>
      <c r="O90" s="107">
        <v>0.42</v>
      </c>
      <c r="P90" s="107">
        <v>0.22</v>
      </c>
      <c r="Q90" s="107">
        <v>0.1</v>
      </c>
      <c r="R90" s="54"/>
      <c r="S90" s="30" t="str">
        <f>IF(AND($G$6=$B$47,$I$6=$M90),"xx","-")</f>
        <v>-</v>
      </c>
      <c r="T90" s="30" t="str">
        <f>IF(AND($G$7=$B$47,$I$7=$M90),"xx","-")</f>
        <v>-</v>
      </c>
      <c r="U90" s="30" t="str">
        <f>IF(AND($G$8=$B$47,$I$8=$M90),"xx","-")</f>
        <v>-</v>
      </c>
      <c r="V90" s="30" t="str">
        <f>IF(AND($G$9=$B$47,$I$9=$M90),"xx","-")</f>
        <v>-</v>
      </c>
      <c r="W90" s="30" t="str">
        <f>IF(AND($G$10=$B$47,$I$10=$M90),"xx","-")</f>
        <v>-</v>
      </c>
      <c r="X90" s="30"/>
      <c r="Y90" s="30"/>
      <c r="Z90" s="30"/>
    </row>
    <row r="91" spans="1:26" ht="20.100000000000001" hidden="1" customHeight="1" x14ac:dyDescent="0.15">
      <c r="H91" s="3"/>
      <c r="I91" s="3"/>
      <c r="J91" s="30"/>
      <c r="K91" s="110" t="s">
        <v>213</v>
      </c>
      <c r="L91" s="30" t="s">
        <v>157</v>
      </c>
      <c r="M91" s="101" t="s">
        <v>310</v>
      </c>
      <c r="N91" s="106">
        <v>4.07</v>
      </c>
      <c r="O91" s="107">
        <v>0.63</v>
      </c>
      <c r="P91" s="107">
        <v>0.3</v>
      </c>
      <c r="Q91" s="107">
        <v>0.14000000000000001</v>
      </c>
      <c r="R91" s="3"/>
      <c r="S91" s="30" t="str">
        <f>IF(AND($G$6=$B$47,$I$6=$M91),"yy","-")</f>
        <v>-</v>
      </c>
      <c r="T91" s="30" t="str">
        <f>IF(AND($G$7=$B$47,$I$7=$M91),"yy","-")</f>
        <v>-</v>
      </c>
      <c r="U91" s="30" t="str">
        <f>IF(AND($G$8=$B$47,$I$8=$M91),"yy","-")</f>
        <v>-</v>
      </c>
      <c r="V91" s="30" t="str">
        <f>IF(AND($G$9=$B$47,$I$9=$M91),"yy","-")</f>
        <v>-</v>
      </c>
      <c r="W91" s="30" t="str">
        <f>IF(AND($G$10=$B$47,$I$10=$M91),"yy","-")</f>
        <v>-</v>
      </c>
      <c r="X91" s="30"/>
      <c r="Y91" s="30"/>
      <c r="Z91" s="30"/>
    </row>
    <row r="92" spans="1:26" ht="20.100000000000001" hidden="1" customHeight="1" x14ac:dyDescent="0.15">
      <c r="A92" s="2"/>
      <c r="B92" s="51"/>
      <c r="C92" s="2"/>
      <c r="D92" s="2"/>
      <c r="E92" s="2"/>
      <c r="F92" s="2"/>
      <c r="G92" s="2"/>
      <c r="H92" s="2"/>
      <c r="I92" s="2"/>
      <c r="J92" s="2"/>
      <c r="K92" s="2" t="s">
        <v>214</v>
      </c>
      <c r="L92" s="66" t="s">
        <v>158</v>
      </c>
      <c r="M92" s="102" t="s">
        <v>290</v>
      </c>
      <c r="N92" s="49">
        <v>2.91</v>
      </c>
      <c r="O92" s="107">
        <v>0.51</v>
      </c>
      <c r="P92" s="107">
        <v>0.3</v>
      </c>
      <c r="Q92" s="107">
        <v>0.12</v>
      </c>
      <c r="R92" s="2"/>
      <c r="S92" s="30" t="str">
        <f>IF(AND($G$6=$B$48,$I$6=$M92),"zz","-")</f>
        <v>-</v>
      </c>
      <c r="T92" s="30" t="str">
        <f>IF(AND($G$7=$B$48,$I$7=$M92),"zz","-")</f>
        <v>-</v>
      </c>
      <c r="U92" s="30" t="str">
        <f>IF(AND($G$8=$B$48,$I$8=$M92),"zz","-")</f>
        <v>-</v>
      </c>
      <c r="V92" s="30" t="str">
        <f>IF(AND($G$9=$B$48,$I$9=$M92),"zz","-")</f>
        <v>-</v>
      </c>
      <c r="W92" s="30" t="str">
        <f>IF(AND($G$10=$B$48,$I$10=$M92),"zz","-")</f>
        <v>-</v>
      </c>
      <c r="X92" s="30"/>
      <c r="Y92" s="30"/>
      <c r="Z92" s="30"/>
    </row>
    <row r="93" spans="1:26" ht="20.100000000000001" hidden="1" customHeight="1" x14ac:dyDescent="0.15">
      <c r="A93" s="2"/>
      <c r="B93" s="51"/>
      <c r="C93" s="2"/>
      <c r="D93" s="2"/>
      <c r="E93" s="2"/>
      <c r="F93" s="2"/>
      <c r="G93" s="2"/>
      <c r="H93" s="6"/>
      <c r="I93" s="2"/>
      <c r="J93" s="2"/>
      <c r="K93" s="2" t="s">
        <v>215</v>
      </c>
      <c r="L93" s="66" t="s">
        <v>158</v>
      </c>
      <c r="M93" s="102" t="s">
        <v>291</v>
      </c>
      <c r="N93" s="49">
        <v>2.91</v>
      </c>
      <c r="O93" s="107">
        <v>0.32</v>
      </c>
      <c r="P93" s="107">
        <v>0.21</v>
      </c>
      <c r="Q93" s="107">
        <v>0.09</v>
      </c>
      <c r="R93" s="30"/>
      <c r="S93" s="30" t="str">
        <f>IF(AND($G$6=$B$48,$I$6=$M93),"aaa","-")</f>
        <v>-</v>
      </c>
      <c r="T93" s="30" t="str">
        <f>IF(AND($G$7=$B$48,$I$7=$M93),"aaa","-")</f>
        <v>-</v>
      </c>
      <c r="U93" s="30" t="str">
        <f>IF(AND($G$8=$B$48,$I$8=$M93),"aaa","-")</f>
        <v>-</v>
      </c>
      <c r="V93" s="30" t="str">
        <f>IF(AND($G$9=$B$48,$I$9=$M93),"aaa","-")</f>
        <v>-</v>
      </c>
      <c r="W93" s="30" t="str">
        <f>IF(AND($G$10=$B$48,$I$10=$M93),"aaa","-")</f>
        <v>-</v>
      </c>
      <c r="X93" s="30"/>
      <c r="Y93" s="30"/>
      <c r="Z93" s="30"/>
    </row>
    <row r="94" spans="1:26" ht="20.100000000000001" hidden="1" customHeight="1" x14ac:dyDescent="0.15">
      <c r="A94" s="30"/>
      <c r="B94" s="80"/>
      <c r="C94" s="78"/>
      <c r="D94" s="2"/>
      <c r="E94" s="2"/>
      <c r="F94" s="2"/>
      <c r="G94" s="30"/>
      <c r="H94" s="6"/>
      <c r="J94" s="30"/>
      <c r="K94" s="110" t="s">
        <v>216</v>
      </c>
      <c r="L94" s="66" t="s">
        <v>158</v>
      </c>
      <c r="M94" s="102" t="s">
        <v>299</v>
      </c>
      <c r="N94" s="49">
        <v>2.91</v>
      </c>
      <c r="O94" s="107">
        <v>0.51</v>
      </c>
      <c r="P94" s="107">
        <v>0.3</v>
      </c>
      <c r="Q94" s="107">
        <v>0.12</v>
      </c>
      <c r="R94" s="66"/>
      <c r="S94" s="30" t="str">
        <f>IF(AND($G$6=$B$48,$I$6=$M94),"bbb","-")</f>
        <v>-</v>
      </c>
      <c r="T94" s="30" t="str">
        <f>IF(AND($G$7=$B$48,$I$7=$M94),"bbb","-")</f>
        <v>-</v>
      </c>
      <c r="U94" s="30" t="str">
        <f>IF(AND($G$8=$B$48,$I$8=$M94),"bbb","-")</f>
        <v>-</v>
      </c>
      <c r="V94" s="30" t="str">
        <f>IF(AND($G$9=$B$48,$I$9=$M94),"bbb","-")</f>
        <v>-</v>
      </c>
      <c r="W94" s="30" t="str">
        <f>IF(AND($G$10=$B$48,$I$10=$M94),"bbb","-")</f>
        <v>-</v>
      </c>
      <c r="X94" s="30"/>
      <c r="Y94" s="30"/>
      <c r="Z94" s="30"/>
    </row>
    <row r="95" spans="1:26" ht="20.100000000000001" hidden="1" customHeight="1" x14ac:dyDescent="0.15">
      <c r="A95" s="30"/>
      <c r="B95" s="80"/>
      <c r="C95" s="78"/>
      <c r="D95" s="2"/>
      <c r="E95" s="2"/>
      <c r="F95" s="2"/>
      <c r="G95" s="56"/>
      <c r="H95" s="6"/>
      <c r="J95" s="30"/>
      <c r="K95" s="110" t="s">
        <v>217</v>
      </c>
      <c r="L95" s="66" t="s">
        <v>158</v>
      </c>
      <c r="M95" s="102" t="s">
        <v>300</v>
      </c>
      <c r="N95" s="49">
        <v>2.91</v>
      </c>
      <c r="O95" s="107">
        <v>0.32</v>
      </c>
      <c r="P95" s="107">
        <v>0.21</v>
      </c>
      <c r="Q95" s="107">
        <v>0.09</v>
      </c>
      <c r="R95" s="66"/>
      <c r="S95" s="30" t="str">
        <f>IF(AND($G$6=$B$48,$I$6=$M95),"ccc","-")</f>
        <v>-</v>
      </c>
      <c r="T95" s="30" t="str">
        <f>IF(AND($G$7=$B$48,$I$7=$M95),"ccc","-")</f>
        <v>-</v>
      </c>
      <c r="U95" s="30" t="str">
        <f>IF(AND($G$8=$B$48,$I$8=$M95),"ccc","-")</f>
        <v>-</v>
      </c>
      <c r="V95" s="30" t="str">
        <f>IF(AND($G$9=$B$48,$I$9=$M95),"ccc","-")</f>
        <v>-</v>
      </c>
      <c r="W95" s="30" t="str">
        <f>IF(AND($G$10=$B$48,$I$10=$M95),"ccc","-")</f>
        <v>-</v>
      </c>
      <c r="X95" s="30"/>
      <c r="Y95" s="30"/>
      <c r="Z95" s="30"/>
    </row>
    <row r="96" spans="1:26" ht="20.100000000000001" hidden="1" customHeight="1" x14ac:dyDescent="0.15">
      <c r="A96" s="30"/>
      <c r="B96" s="80"/>
      <c r="C96" s="78"/>
      <c r="D96" s="2"/>
      <c r="E96" s="2"/>
      <c r="F96" s="2"/>
      <c r="G96" s="30"/>
      <c r="H96" s="6"/>
      <c r="J96" s="30"/>
      <c r="K96" s="110" t="s">
        <v>218</v>
      </c>
      <c r="L96" s="66" t="s">
        <v>158</v>
      </c>
      <c r="M96" s="102" t="s">
        <v>313</v>
      </c>
      <c r="N96" s="49">
        <v>3.49</v>
      </c>
      <c r="O96" s="107">
        <v>0.51</v>
      </c>
      <c r="P96" s="107">
        <v>0.3</v>
      </c>
      <c r="Q96" s="107">
        <v>0.12</v>
      </c>
      <c r="R96" s="66"/>
      <c r="S96" s="30" t="str">
        <f>IF(AND($G$6=$B$48,$I$6=$M96),"ddd","-")</f>
        <v>-</v>
      </c>
      <c r="T96" s="30" t="str">
        <f>IF(AND($G$7=$B$48,$I$7=$M96),"ddd","-")</f>
        <v>-</v>
      </c>
      <c r="U96" s="30" t="str">
        <f>IF(AND($G$8=$B$48,$I$8=$M96),"ddd","-")</f>
        <v>-</v>
      </c>
      <c r="V96" s="30" t="str">
        <f>IF(AND($G$9=$B$48,$I$9=$M96),"ddd","-")</f>
        <v>-</v>
      </c>
      <c r="W96" s="30" t="str">
        <f>IF(AND($G$10=$B$48,$I$10=$M96),"ddd","-")</f>
        <v>-</v>
      </c>
      <c r="X96" s="30"/>
      <c r="Y96" s="30"/>
      <c r="Z96" s="30"/>
    </row>
    <row r="97" spans="1:26" ht="20.100000000000001" hidden="1" customHeight="1" x14ac:dyDescent="0.15">
      <c r="A97" s="30"/>
      <c r="B97" s="80"/>
      <c r="C97" s="78"/>
      <c r="D97" s="2"/>
      <c r="E97" s="2"/>
      <c r="F97" s="2"/>
      <c r="G97" s="56"/>
      <c r="H97" s="6"/>
      <c r="J97" s="30"/>
      <c r="K97" s="110" t="s">
        <v>219</v>
      </c>
      <c r="L97" s="66" t="s">
        <v>158</v>
      </c>
      <c r="M97" s="102" t="s">
        <v>314</v>
      </c>
      <c r="N97" s="49">
        <v>3.49</v>
      </c>
      <c r="O97" s="107">
        <v>0.32</v>
      </c>
      <c r="P97" s="107">
        <v>0.21</v>
      </c>
      <c r="Q97" s="107">
        <v>0.09</v>
      </c>
      <c r="R97" s="66"/>
      <c r="S97" s="30" t="str">
        <f>IF(AND($G$6=$B$48,$I$6=$M97),"eee","-")</f>
        <v>-</v>
      </c>
      <c r="T97" s="30" t="str">
        <f>IF(AND($G$7=$B$48,$I$7=$M97),"eee","-")</f>
        <v>-</v>
      </c>
      <c r="U97" s="30" t="str">
        <f>IF(AND($G$8=$B$48,$I$8=$M97),"eee","-")</f>
        <v>-</v>
      </c>
      <c r="V97" s="30" t="str">
        <f>IF(AND($G$9=$B$48,$I$9=$M97),"eee","-")</f>
        <v>-</v>
      </c>
      <c r="W97" s="30" t="str">
        <f>IF(AND($G$10=$B$48,$I$10=$M97),"eee","-")</f>
        <v>-</v>
      </c>
      <c r="X97" s="30"/>
      <c r="Y97" s="30"/>
      <c r="Z97" s="30"/>
    </row>
    <row r="98" spans="1:26" ht="20.100000000000001" hidden="1" customHeight="1" x14ac:dyDescent="0.15">
      <c r="A98" s="30"/>
      <c r="B98" s="80"/>
      <c r="C98" s="78"/>
      <c r="D98" s="2"/>
      <c r="E98" s="2"/>
      <c r="F98" s="2"/>
      <c r="G98" s="30"/>
      <c r="H98" s="2"/>
      <c r="J98" s="30"/>
      <c r="K98" s="110" t="s">
        <v>220</v>
      </c>
      <c r="L98" s="66" t="s">
        <v>158</v>
      </c>
      <c r="M98" s="102" t="s">
        <v>785</v>
      </c>
      <c r="N98" s="49">
        <v>3.49</v>
      </c>
      <c r="O98" s="107">
        <v>0.51</v>
      </c>
      <c r="P98" s="107">
        <v>0.3</v>
      </c>
      <c r="Q98" s="107">
        <v>0.12</v>
      </c>
      <c r="R98" s="66"/>
      <c r="S98" s="30" t="str">
        <f>IF(AND($G$6=$B$48,$I$6=$M98),"fff","-")</f>
        <v>-</v>
      </c>
      <c r="T98" s="30" t="str">
        <f>IF(AND($G$7=$B$48,$I$7=$M98),"fff","-")</f>
        <v>-</v>
      </c>
      <c r="U98" s="30" t="str">
        <f>IF(AND($G$8=$B$48,$I$8=$M98),"fff","-")</f>
        <v>-</v>
      </c>
      <c r="V98" s="30" t="str">
        <f>IF(AND($G$9=$B$48,$I$9=$M98),"fff","-")</f>
        <v>-</v>
      </c>
      <c r="W98" s="30" t="str">
        <f>IF(AND($G$10=$B$48,$I$10=$M98),"fff","-")</f>
        <v>-</v>
      </c>
      <c r="X98" s="30"/>
      <c r="Y98" s="30"/>
      <c r="Z98" s="30"/>
    </row>
    <row r="99" spans="1:26" ht="20.100000000000001" hidden="1" customHeight="1" x14ac:dyDescent="0.15">
      <c r="A99" s="30"/>
      <c r="B99" s="80"/>
      <c r="C99" s="78"/>
      <c r="D99" s="2"/>
      <c r="E99" s="2"/>
      <c r="F99" s="2"/>
      <c r="G99" s="56"/>
      <c r="H99" s="2"/>
      <c r="J99" s="30"/>
      <c r="K99" s="110" t="s">
        <v>221</v>
      </c>
      <c r="L99" s="66" t="s">
        <v>158</v>
      </c>
      <c r="M99" s="102" t="s">
        <v>786</v>
      </c>
      <c r="N99" s="49">
        <v>3.49</v>
      </c>
      <c r="O99" s="107">
        <v>0.32</v>
      </c>
      <c r="P99" s="107">
        <v>0.21</v>
      </c>
      <c r="Q99" s="107">
        <v>0.09</v>
      </c>
      <c r="R99" s="66"/>
      <c r="S99" s="30" t="str">
        <f>IF(AND($G$6=$B$48,$I$6=$M99),"ggg","-")</f>
        <v>-</v>
      </c>
      <c r="T99" s="30" t="str">
        <f>IF(AND($G$7=$B$48,$I$7=$M99),"ggg","-")</f>
        <v>-</v>
      </c>
      <c r="U99" s="30" t="str">
        <f>IF(AND($G$8=$B$48,$I$8=$M99),"ggg","-")</f>
        <v>-</v>
      </c>
      <c r="V99" s="30" t="str">
        <f>IF(AND($G$9=$B$48,$I$9=$M99),"ggg","-")</f>
        <v>-</v>
      </c>
      <c r="W99" s="30" t="str">
        <f>IF(AND($G$10=$B$48,$I$10=$M99),"ggg","-")</f>
        <v>-</v>
      </c>
      <c r="X99" s="30"/>
      <c r="Y99" s="30"/>
      <c r="Z99" s="30"/>
    </row>
    <row r="100" spans="1:26" ht="20.100000000000001" hidden="1" customHeight="1" x14ac:dyDescent="0.15">
      <c r="A100" s="30"/>
      <c r="B100" s="80"/>
      <c r="C100" s="78"/>
      <c r="D100" s="2"/>
      <c r="E100" s="2"/>
      <c r="F100" s="2"/>
      <c r="G100" s="30"/>
      <c r="H100" s="2"/>
      <c r="J100" s="30"/>
      <c r="K100" s="110" t="s">
        <v>222</v>
      </c>
      <c r="L100" s="66" t="s">
        <v>158</v>
      </c>
      <c r="M100" s="102" t="s">
        <v>292</v>
      </c>
      <c r="N100" s="49">
        <v>3.49</v>
      </c>
      <c r="O100" s="107">
        <v>0.49</v>
      </c>
      <c r="P100" s="107">
        <v>0.26</v>
      </c>
      <c r="Q100" s="107">
        <v>0.11</v>
      </c>
      <c r="R100" s="66"/>
      <c r="S100" s="30" t="str">
        <f>IF(AND($G$6=$B$48,$I$6=$M100),"hhh","-")</f>
        <v>-</v>
      </c>
      <c r="T100" s="30" t="str">
        <f>IF(AND($G$7=$B$48,$I$7=$M100),"hhh","-")</f>
        <v>-</v>
      </c>
      <c r="U100" s="30" t="str">
        <f>IF(AND($G$8=$B$48,$I$8=$M100),"hhh","-")</f>
        <v>-</v>
      </c>
      <c r="V100" s="30" t="str">
        <f>IF(AND($G$9=$B$48,$I$9=$M100),"hhh","-")</f>
        <v>-</v>
      </c>
      <c r="W100" s="30" t="str">
        <f>IF(AND($G$10=$B$48,$I$10=$M100),"hhh","-")</f>
        <v>-</v>
      </c>
      <c r="X100" s="30"/>
      <c r="Y100" s="30"/>
      <c r="Z100" s="30"/>
    </row>
    <row r="101" spans="1:26" ht="20.100000000000001" hidden="1" customHeight="1" x14ac:dyDescent="0.15">
      <c r="A101" s="30"/>
      <c r="B101" s="80"/>
      <c r="C101" s="78"/>
      <c r="D101" s="55"/>
      <c r="E101" s="55"/>
      <c r="F101" s="6"/>
      <c r="G101" s="6"/>
      <c r="H101" s="6"/>
      <c r="J101" s="30"/>
      <c r="K101" s="110" t="s">
        <v>223</v>
      </c>
      <c r="L101" s="66" t="s">
        <v>158</v>
      </c>
      <c r="M101" s="102" t="s">
        <v>293</v>
      </c>
      <c r="N101" s="49">
        <v>3.49</v>
      </c>
      <c r="O101" s="107">
        <v>0.3</v>
      </c>
      <c r="P101" s="107">
        <v>0.19</v>
      </c>
      <c r="Q101" s="107">
        <v>0.08</v>
      </c>
      <c r="R101" s="66"/>
      <c r="S101" s="30" t="str">
        <f>IF(AND($G$6=$B$48,$I$6=$M101),"iii","-")</f>
        <v>-</v>
      </c>
      <c r="T101" s="30" t="str">
        <f>IF(AND($G$7=$B$48,$I$7=$M101),"iii","-")</f>
        <v>-</v>
      </c>
      <c r="U101" s="30" t="str">
        <f>IF(AND($G$8=$B$48,$I$8=$M101),"iii","-")</f>
        <v>-</v>
      </c>
      <c r="V101" s="30" t="str">
        <f>IF(AND($G$9=$B$48,$I$9=$M101),"iii","-")</f>
        <v>-</v>
      </c>
      <c r="W101" s="30" t="str">
        <f>IF(AND($G$10=$B$48,$I$10=$M101),"iii","-")</f>
        <v>-</v>
      </c>
      <c r="X101" s="30"/>
      <c r="Y101" s="30"/>
      <c r="Z101" s="30"/>
    </row>
    <row r="102" spans="1:26" ht="20.100000000000001" hidden="1" customHeight="1" x14ac:dyDescent="0.15">
      <c r="A102" s="30"/>
      <c r="B102" s="80"/>
      <c r="C102" s="78"/>
      <c r="D102" s="55"/>
      <c r="E102" s="55"/>
      <c r="F102" s="6"/>
      <c r="G102" s="57"/>
      <c r="H102" s="57"/>
      <c r="J102" s="30"/>
      <c r="K102" s="110" t="s">
        <v>224</v>
      </c>
      <c r="L102" s="66" t="s">
        <v>158</v>
      </c>
      <c r="M102" s="102" t="s">
        <v>294</v>
      </c>
      <c r="N102" s="49">
        <v>3.49</v>
      </c>
      <c r="O102" s="107">
        <v>0.13</v>
      </c>
      <c r="P102" s="107">
        <v>0.1</v>
      </c>
      <c r="Q102" s="107">
        <v>0.05</v>
      </c>
      <c r="R102" s="66"/>
      <c r="S102" s="30" t="str">
        <f>IF(AND($G$6=$B$48,$I$6=$M102),"jjj","-")</f>
        <v>-</v>
      </c>
      <c r="T102" s="30" t="str">
        <f>IF(AND($G$7=$B$48,$I$7=$M102),"jjj","-")</f>
        <v>-</v>
      </c>
      <c r="U102" s="30" t="str">
        <f>IF(AND($G$8=$B$48,$I$8=$M102),"jjj","-")</f>
        <v>-</v>
      </c>
      <c r="V102" s="30" t="str">
        <f>IF(AND($G$9=$B$48,$I$9=$M102),"jjj","-")</f>
        <v>-</v>
      </c>
      <c r="W102" s="30" t="str">
        <f>IF(AND($G$10=$B$48,$I$10=$M102),"jjj","-")</f>
        <v>-</v>
      </c>
      <c r="X102" s="30"/>
      <c r="Y102" s="30"/>
      <c r="Z102" s="30"/>
    </row>
    <row r="103" spans="1:26" ht="20.100000000000001" hidden="1" customHeight="1" x14ac:dyDescent="0.15">
      <c r="B103" s="80"/>
      <c r="C103" s="78"/>
      <c r="D103" s="55"/>
      <c r="E103" s="55"/>
      <c r="F103" s="6"/>
      <c r="G103" s="57"/>
      <c r="H103" s="57"/>
      <c r="J103" s="30"/>
      <c r="K103" s="110" t="s">
        <v>225</v>
      </c>
      <c r="L103" s="66" t="s">
        <v>158</v>
      </c>
      <c r="M103" s="102" t="s">
        <v>295</v>
      </c>
      <c r="N103" s="49">
        <v>3.49</v>
      </c>
      <c r="O103" s="107">
        <v>0.42</v>
      </c>
      <c r="P103" s="107">
        <v>0.22</v>
      </c>
      <c r="Q103" s="107">
        <v>0.1</v>
      </c>
      <c r="R103" s="66"/>
      <c r="S103" s="30" t="str">
        <f>IF(AND($G$6=$B$48,$I$6=$M103),"kkk","-")</f>
        <v>-</v>
      </c>
      <c r="T103" s="30" t="str">
        <f>IF(AND($G$7=$B$48,$I$7=$M103),"kkk","-")</f>
        <v>-</v>
      </c>
      <c r="U103" s="30" t="str">
        <f>IF(AND($G$8=$B$48,$I$8=$M103),"kkk","-")</f>
        <v>-</v>
      </c>
      <c r="V103" s="30" t="str">
        <f>IF(AND($G$9=$B$48,$I$9=$M103),"kkk","-")</f>
        <v>-</v>
      </c>
      <c r="W103" s="30" t="str">
        <f>IF(AND($G$10=$B$48,$I$10=$M103),"kkk","-")</f>
        <v>-</v>
      </c>
      <c r="X103" s="30"/>
      <c r="Y103" s="30"/>
      <c r="Z103" s="30"/>
    </row>
    <row r="104" spans="1:26" ht="20.100000000000001" hidden="1" customHeight="1" x14ac:dyDescent="0.15">
      <c r="A104" s="30"/>
      <c r="B104" s="80"/>
      <c r="C104" s="78"/>
      <c r="D104" s="55"/>
      <c r="E104" s="55"/>
      <c r="F104" s="6"/>
      <c r="G104" s="57"/>
      <c r="H104" s="57"/>
      <c r="J104" s="30"/>
      <c r="K104" s="110" t="s">
        <v>226</v>
      </c>
      <c r="L104" s="66" t="s">
        <v>158</v>
      </c>
      <c r="M104" s="102" t="s">
        <v>296</v>
      </c>
      <c r="N104" s="49">
        <v>3.49</v>
      </c>
      <c r="O104" s="107">
        <v>0.63</v>
      </c>
      <c r="P104" s="107">
        <v>0.3</v>
      </c>
      <c r="Q104" s="107">
        <v>0.14000000000000001</v>
      </c>
      <c r="R104" s="66"/>
      <c r="S104" s="30" t="str">
        <f>IF(AND($G$6=$B$48,$I$6=$M104),"lll","-")</f>
        <v>-</v>
      </c>
      <c r="T104" s="30" t="str">
        <f>IF(AND($G$7=$B$48,$I$7=$M104),"lll","-")</f>
        <v>-</v>
      </c>
      <c r="U104" s="30" t="str">
        <f>IF(AND($G$8=$B$48,$I$8=$M104),"lll","-")</f>
        <v>-</v>
      </c>
      <c r="V104" s="30" t="str">
        <f>IF(AND($G$9=$B$48,$I$9=$M104),"lll","-")</f>
        <v>-</v>
      </c>
      <c r="W104" s="30" t="str">
        <f>IF(AND($G$10=$B$48,$I$10=$M104),"lll","-")</f>
        <v>-</v>
      </c>
      <c r="X104" s="30"/>
      <c r="Y104" s="30"/>
      <c r="Z104" s="30"/>
    </row>
    <row r="105" spans="1:26" ht="20.100000000000001" hidden="1" customHeight="1" x14ac:dyDescent="0.15">
      <c r="A105" s="30"/>
      <c r="B105" s="80"/>
      <c r="C105" s="78"/>
      <c r="D105" s="55"/>
      <c r="E105" s="55"/>
      <c r="F105" s="6"/>
      <c r="G105" s="57"/>
      <c r="H105" s="57"/>
      <c r="J105" s="30"/>
      <c r="K105" s="110" t="s">
        <v>227</v>
      </c>
      <c r="L105" s="66" t="s">
        <v>158</v>
      </c>
      <c r="M105" s="102" t="s">
        <v>306</v>
      </c>
      <c r="N105" s="49">
        <v>4.07</v>
      </c>
      <c r="O105" s="107">
        <v>0.49</v>
      </c>
      <c r="P105" s="107">
        <v>0.26</v>
      </c>
      <c r="Q105" s="107">
        <v>0.11</v>
      </c>
      <c r="R105" s="66"/>
      <c r="S105" s="30" t="str">
        <f>IF(AND($G$6=$B$48,$I$6=$M105),"mmm","-")</f>
        <v>-</v>
      </c>
      <c r="T105" s="30" t="str">
        <f>IF(AND($G$7=$B$48,$I$7=$M105),"mmm","-")</f>
        <v>-</v>
      </c>
      <c r="U105" s="30" t="str">
        <f>IF(AND($G$8=$B$48,$I$8=$M105),"mmm","-")</f>
        <v>-</v>
      </c>
      <c r="V105" s="30" t="str">
        <f>IF(AND($G$9=$B$48,$I$9=$M105),"mmm","-")</f>
        <v>-</v>
      </c>
      <c r="W105" s="30" t="str">
        <f>IF(AND($G$10=$B$48,$I$10=$M105),"mmm","-")</f>
        <v>-</v>
      </c>
      <c r="X105" s="30"/>
      <c r="Y105" s="30"/>
      <c r="Z105" s="30"/>
    </row>
    <row r="106" spans="1:26" ht="20.100000000000001" hidden="1" customHeight="1" x14ac:dyDescent="0.15">
      <c r="A106" s="30"/>
      <c r="B106" s="80"/>
      <c r="C106" s="78"/>
      <c r="D106" s="55"/>
      <c r="E106" s="55"/>
      <c r="F106" s="6"/>
      <c r="G106" s="57"/>
      <c r="H106" s="57"/>
      <c r="J106" s="30"/>
      <c r="K106" s="110" t="s">
        <v>228</v>
      </c>
      <c r="L106" s="66" t="s">
        <v>158</v>
      </c>
      <c r="M106" s="102" t="s">
        <v>307</v>
      </c>
      <c r="N106" s="49">
        <v>4.07</v>
      </c>
      <c r="O106" s="107">
        <v>0.3</v>
      </c>
      <c r="P106" s="107">
        <v>0.19</v>
      </c>
      <c r="Q106" s="107">
        <v>0.08</v>
      </c>
      <c r="R106" s="66"/>
      <c r="S106" s="30" t="str">
        <f>IF(AND($G$6=$B$48,$I$6=$M106),"nnn","-")</f>
        <v>-</v>
      </c>
      <c r="T106" s="30" t="str">
        <f>IF(AND($G$7=$B$48,$I$7=$M106),"nnn","-")</f>
        <v>-</v>
      </c>
      <c r="U106" s="30" t="str">
        <f>IF(AND($G$8=$B$48,$I$8=$M106),"nnn","-")</f>
        <v>-</v>
      </c>
      <c r="V106" s="30" t="str">
        <f>IF(AND($G$9=$B$48,$I$9=$M106),"nnn","-")</f>
        <v>-</v>
      </c>
      <c r="W106" s="30" t="str">
        <f>IF(AND($G$10=$B$48,$I$10=$M106),"nnn","-")</f>
        <v>-</v>
      </c>
      <c r="X106" s="30"/>
      <c r="Y106" s="30"/>
      <c r="Z106" s="30"/>
    </row>
    <row r="107" spans="1:26" ht="20.100000000000001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229</v>
      </c>
      <c r="L107" s="66" t="s">
        <v>158</v>
      </c>
      <c r="M107" s="102" t="s">
        <v>308</v>
      </c>
      <c r="N107" s="49">
        <v>4.07</v>
      </c>
      <c r="O107" s="107">
        <v>0.13</v>
      </c>
      <c r="P107" s="107">
        <v>0.1</v>
      </c>
      <c r="Q107" s="107">
        <v>0.05</v>
      </c>
      <c r="R107" s="66"/>
      <c r="S107" s="30" t="str">
        <f>IF(AND($G$6=$B$48,$I$6=$M107),"ooo","-")</f>
        <v>-</v>
      </c>
      <c r="T107" s="30" t="str">
        <f>IF(AND($G$7=$B$48,$I$7=$M107),"ooo","-")</f>
        <v>-</v>
      </c>
      <c r="U107" s="30" t="str">
        <f>IF(AND($G$8=$B$48,$I$8=$M107),"ooo","-")</f>
        <v>-</v>
      </c>
      <c r="V107" s="30" t="str">
        <f>IF(AND($G$9=$B$48,$I$9=$M107),"ooo","-")</f>
        <v>-</v>
      </c>
      <c r="W107" s="30" t="str">
        <f>IF(AND($G$10=$B$48,$I$10=$M107),"ooo","-")</f>
        <v>-</v>
      </c>
      <c r="X107" s="30"/>
      <c r="Y107" s="30"/>
      <c r="Z107" s="30"/>
    </row>
    <row r="108" spans="1:26" ht="20.100000000000001" hidden="1" customHeight="1" x14ac:dyDescent="0.15">
      <c r="A108" s="30"/>
      <c r="B108" s="80"/>
      <c r="C108" s="78"/>
      <c r="D108" s="55"/>
      <c r="E108" s="55"/>
      <c r="F108" s="6"/>
      <c r="G108" s="57"/>
      <c r="H108" s="6"/>
      <c r="J108" s="30"/>
      <c r="K108" s="110" t="s">
        <v>230</v>
      </c>
      <c r="L108" s="66" t="s">
        <v>158</v>
      </c>
      <c r="M108" s="102" t="s">
        <v>309</v>
      </c>
      <c r="N108" s="49">
        <v>4.07</v>
      </c>
      <c r="O108" s="107">
        <v>0.42</v>
      </c>
      <c r="P108" s="107">
        <v>0.22</v>
      </c>
      <c r="Q108" s="107">
        <v>0.1</v>
      </c>
      <c r="R108" s="66"/>
      <c r="S108" s="30" t="str">
        <f>IF(AND($G$6=$B$48,$I$6=$M108),"ppp","-")</f>
        <v>-</v>
      </c>
      <c r="T108" s="30" t="str">
        <f>IF(AND($G$7=$B$48,$I$7=$M108),"ppp","-")</f>
        <v>-</v>
      </c>
      <c r="U108" s="30" t="str">
        <f>IF(AND($G$8=$B$48,$I$8=$M108),"ppp","-")</f>
        <v>-</v>
      </c>
      <c r="V108" s="30" t="str">
        <f>IF(AND($G$9=$B$48,$I$9=$M108),"ppp","-")</f>
        <v>-</v>
      </c>
      <c r="W108" s="30" t="str">
        <f>IF(AND($G$10=$B$48,$I$10=$M108),"ppp","-")</f>
        <v>-</v>
      </c>
      <c r="X108" s="30"/>
      <c r="Y108" s="30"/>
      <c r="Z108" s="30"/>
    </row>
    <row r="109" spans="1:26" ht="20.100000000000001" hidden="1" customHeight="1" x14ac:dyDescent="0.15">
      <c r="A109" s="30"/>
      <c r="B109" s="80"/>
      <c r="C109" s="78"/>
      <c r="D109" s="2"/>
      <c r="E109" s="2"/>
      <c r="F109" s="2"/>
      <c r="G109" s="2"/>
      <c r="H109" s="2"/>
      <c r="J109" s="30"/>
      <c r="K109" s="110" t="s">
        <v>231</v>
      </c>
      <c r="L109" s="66" t="s">
        <v>158</v>
      </c>
      <c r="M109" s="102" t="s">
        <v>310</v>
      </c>
      <c r="N109" s="49">
        <v>4.07</v>
      </c>
      <c r="O109" s="107">
        <v>0.63</v>
      </c>
      <c r="P109" s="107">
        <v>0.3</v>
      </c>
      <c r="Q109" s="107">
        <v>0.14000000000000001</v>
      </c>
      <c r="R109" s="66"/>
      <c r="S109" s="30" t="str">
        <f>IF(AND($G$6=$B$48,$I$6=$M109),"qqq","-")</f>
        <v>-</v>
      </c>
      <c r="T109" s="30" t="str">
        <f>IF(AND($G$7=$B$48,$I$7=$M109),"qqq","-")</f>
        <v>-</v>
      </c>
      <c r="U109" s="30" t="str">
        <f>IF(AND($G$8=$B$48,$I$8=$M109),"qqq","-")</f>
        <v>-</v>
      </c>
      <c r="V109" s="30" t="str">
        <f>IF(AND($G$9=$B$48,$I$9=$M109),"qqq","-")</f>
        <v>-</v>
      </c>
      <c r="W109" s="30" t="str">
        <f>IF(AND($G$10=$B$48,$I$10=$M109),"qqq","-")</f>
        <v>-</v>
      </c>
      <c r="X109" s="30"/>
      <c r="Y109" s="30"/>
      <c r="Z109" s="30"/>
    </row>
    <row r="110" spans="1:26" ht="20.100000000000001" hidden="1" customHeight="1" x14ac:dyDescent="0.15">
      <c r="A110" s="30"/>
      <c r="B110" s="80"/>
      <c r="C110" s="78"/>
      <c r="D110" s="2"/>
      <c r="E110" s="2"/>
      <c r="F110" s="2"/>
      <c r="G110" s="2"/>
      <c r="H110" s="2"/>
      <c r="J110" s="30"/>
      <c r="K110" s="110" t="s">
        <v>232</v>
      </c>
      <c r="L110" s="66" t="s">
        <v>159</v>
      </c>
      <c r="M110" s="103" t="s">
        <v>290</v>
      </c>
      <c r="N110" s="49">
        <v>3.49</v>
      </c>
      <c r="O110" s="107">
        <v>0.51</v>
      </c>
      <c r="P110" s="107">
        <v>0.3</v>
      </c>
      <c r="Q110" s="107">
        <v>0.12</v>
      </c>
      <c r="R110" s="66"/>
      <c r="S110" s="30" t="str">
        <f>IF(AND($G$6=$B$49,$I$6=$M110),"rrr","-")</f>
        <v>-</v>
      </c>
      <c r="T110" s="30" t="str">
        <f>IF(AND($G$7=$B$49,$I$7=$M110),"rrr","-")</f>
        <v>-</v>
      </c>
      <c r="U110" s="30" t="str">
        <f>IF(AND($G$8=$B$49,$I$8=$M110),"rrr","-")</f>
        <v>-</v>
      </c>
      <c r="V110" s="30" t="str">
        <f>IF(AND($G$9=$B$49,$I$9=$M110),"rrr","-")</f>
        <v>-</v>
      </c>
      <c r="W110" s="30" t="str">
        <f>IF(AND($G$10=$B$49,$I$10=$M110),"rrr","-")</f>
        <v>-</v>
      </c>
      <c r="X110" s="30"/>
      <c r="Y110" s="30"/>
      <c r="Z110" s="30"/>
    </row>
    <row r="111" spans="1:26" ht="20.100000000000001" hidden="1" customHeight="1" x14ac:dyDescent="0.15">
      <c r="A111" s="30"/>
      <c r="B111" s="80"/>
      <c r="C111" s="78"/>
      <c r="D111" s="2"/>
      <c r="E111" s="2"/>
      <c r="F111" s="2"/>
      <c r="G111" s="2"/>
      <c r="H111" s="2"/>
      <c r="J111" s="30"/>
      <c r="K111" s="110" t="s">
        <v>233</v>
      </c>
      <c r="L111" s="66" t="s">
        <v>159</v>
      </c>
      <c r="M111" s="103" t="s">
        <v>291</v>
      </c>
      <c r="N111" s="49">
        <v>3.49</v>
      </c>
      <c r="O111" s="107">
        <v>0.32</v>
      </c>
      <c r="P111" s="107">
        <v>0.21</v>
      </c>
      <c r="Q111" s="107">
        <v>0.09</v>
      </c>
      <c r="R111" s="66"/>
      <c r="S111" s="30" t="str">
        <f>IF(AND($G$6=$B$49,$I$6=$M111),"sss","-")</f>
        <v>-</v>
      </c>
      <c r="T111" s="30" t="str">
        <f>IF(AND($G$7=$B$49,$I$7=$M111),"sss","-")</f>
        <v>-</v>
      </c>
      <c r="U111" s="30" t="str">
        <f>IF(AND($G$8=$B$49,$I$8=$M111),"sss","-")</f>
        <v>-</v>
      </c>
      <c r="V111" s="30" t="str">
        <f>IF(AND($G$9=$B$49,$I$9=$M111),"sss","-")</f>
        <v>-</v>
      </c>
      <c r="W111" s="30" t="str">
        <f>IF(AND($G$10=$B$49,$I$10=$M111),"sss","-")</f>
        <v>-</v>
      </c>
      <c r="X111" s="30"/>
      <c r="Y111" s="30"/>
      <c r="Z111" s="30"/>
    </row>
    <row r="112" spans="1:26" ht="20.100000000000001" hidden="1" customHeight="1" x14ac:dyDescent="0.15">
      <c r="B112" s="80"/>
      <c r="C112" s="78"/>
      <c r="D112" s="2"/>
      <c r="E112" s="2"/>
      <c r="F112" s="2"/>
      <c r="G112" s="2"/>
      <c r="H112" s="2"/>
      <c r="J112" s="30"/>
      <c r="K112" s="110" t="s">
        <v>234</v>
      </c>
      <c r="L112" s="66" t="s">
        <v>159</v>
      </c>
      <c r="M112" s="103" t="s">
        <v>299</v>
      </c>
      <c r="N112" s="49">
        <v>3.49</v>
      </c>
      <c r="O112" s="107">
        <v>0.51</v>
      </c>
      <c r="P112" s="107">
        <v>0.3</v>
      </c>
      <c r="Q112" s="107">
        <v>0.12</v>
      </c>
      <c r="R112" s="66"/>
      <c r="S112" s="30" t="str">
        <f>IF(AND($G$6=$B$49,$I$6=$M112),"ttt","-")</f>
        <v>-</v>
      </c>
      <c r="T112" s="30" t="str">
        <f>IF(AND($G$7=$B$49,$I$7=$M112),"ttt","-")</f>
        <v>-</v>
      </c>
      <c r="U112" s="30" t="str">
        <f>IF(AND($G$8=$B$49,$I$8=$M112),"ttt","-")</f>
        <v>-</v>
      </c>
      <c r="V112" s="30" t="str">
        <f>IF(AND($G$9=$B$49,$I$9=$M112),"ttt","-")</f>
        <v>-</v>
      </c>
      <c r="W112" s="30" t="str">
        <f>IF(AND($G$10=$B$49,$I$10=$M112),"ttt","-")</f>
        <v>-</v>
      </c>
      <c r="X112" s="30"/>
      <c r="Y112" s="30"/>
      <c r="Z112" s="30"/>
    </row>
    <row r="113" spans="1:26" ht="20.100000000000001" hidden="1" customHeight="1" x14ac:dyDescent="0.15">
      <c r="B113" s="80"/>
      <c r="C113" s="78"/>
      <c r="D113" s="2"/>
      <c r="E113" s="2"/>
      <c r="F113" s="2"/>
      <c r="G113" s="2"/>
      <c r="H113" s="2"/>
      <c r="J113" s="30"/>
      <c r="K113" s="110" t="s">
        <v>235</v>
      </c>
      <c r="L113" s="66" t="s">
        <v>159</v>
      </c>
      <c r="M113" s="103" t="s">
        <v>300</v>
      </c>
      <c r="N113" s="49">
        <v>3.49</v>
      </c>
      <c r="O113" s="107">
        <v>0.32</v>
      </c>
      <c r="P113" s="107">
        <v>0.21</v>
      </c>
      <c r="Q113" s="107">
        <v>0.09</v>
      </c>
      <c r="R113" s="66"/>
      <c r="S113" s="30" t="str">
        <f>IF(AND($G$6=$B$49,$I$6=$M113),"uuu","-")</f>
        <v>-</v>
      </c>
      <c r="T113" s="30" t="str">
        <f>IF(AND($G$7=$B$49,$I$7=$M113),"uuu","-")</f>
        <v>-</v>
      </c>
      <c r="U113" s="30" t="str">
        <f>IF(AND($G$8=$B$49,$I$8=$M113),"uuu","-")</f>
        <v>-</v>
      </c>
      <c r="V113" s="30" t="str">
        <f>IF(AND($G$9=$B$49,$I$9=$M113),"uuu","-")</f>
        <v>-</v>
      </c>
      <c r="W113" s="30" t="str">
        <f>IF(AND($G$10=$B$49,$I$10=$M113),"uuu","-")</f>
        <v>-</v>
      </c>
      <c r="X113" s="30"/>
      <c r="Y113" s="30"/>
      <c r="Z113" s="30"/>
    </row>
    <row r="114" spans="1:26" ht="20.100000000000001" hidden="1" customHeight="1" x14ac:dyDescent="0.15">
      <c r="B114" s="80"/>
      <c r="C114" s="78"/>
      <c r="D114" s="2"/>
      <c r="E114" s="2"/>
      <c r="F114" s="2"/>
      <c r="G114" s="2"/>
      <c r="H114" s="2"/>
      <c r="J114" s="30"/>
      <c r="K114" s="110" t="s">
        <v>236</v>
      </c>
      <c r="L114" s="66" t="s">
        <v>159</v>
      </c>
      <c r="M114" s="103" t="s">
        <v>304</v>
      </c>
      <c r="N114" s="49">
        <v>4.07</v>
      </c>
      <c r="O114" s="107">
        <v>0.51</v>
      </c>
      <c r="P114" s="107">
        <v>0.3</v>
      </c>
      <c r="Q114" s="107">
        <v>0.12</v>
      </c>
      <c r="R114" s="66"/>
      <c r="S114" s="30" t="str">
        <f>IF(AND($G$6=$B$49,$I$6=$M114),"vvv","-")</f>
        <v>-</v>
      </c>
      <c r="T114" s="30" t="str">
        <f>IF(AND($G$7=$B$49,$I$7=$M114),"vvv","-")</f>
        <v>-</v>
      </c>
      <c r="U114" s="30" t="str">
        <f>IF(AND($G$8=$B$49,$I$8=$M114),"vvv","-")</f>
        <v>-</v>
      </c>
      <c r="V114" s="30" t="str">
        <f>IF(AND($G$9=$B$49,$I$9=$M114),"vvv","-")</f>
        <v>-</v>
      </c>
      <c r="W114" s="30" t="str">
        <f>IF(AND($G$10=$B$49,$I$10=$M114),"vvv","-")</f>
        <v>-</v>
      </c>
      <c r="X114" s="30"/>
      <c r="Y114" s="30"/>
      <c r="Z114" s="30"/>
    </row>
    <row r="115" spans="1:26" ht="20.100000000000001" hidden="1" customHeight="1" x14ac:dyDescent="0.15">
      <c r="B115" s="82"/>
      <c r="C115" s="77"/>
      <c r="H115" s="2"/>
      <c r="J115" s="30"/>
      <c r="K115" s="110" t="s">
        <v>210</v>
      </c>
      <c r="L115" s="66" t="s">
        <v>159</v>
      </c>
      <c r="M115" s="103" t="s">
        <v>305</v>
      </c>
      <c r="N115" s="49">
        <v>4.07</v>
      </c>
      <c r="O115" s="107">
        <v>0.32</v>
      </c>
      <c r="P115" s="107">
        <v>0.21</v>
      </c>
      <c r="Q115" s="107">
        <v>0.09</v>
      </c>
      <c r="R115" s="66"/>
      <c r="S115" s="30" t="str">
        <f>IF(AND($G$6=$B$49,$I$6=$M115),"www","-")</f>
        <v>-</v>
      </c>
      <c r="T115" s="30" t="str">
        <f>IF(AND($G$7=$B$49,$I$7=$M115),"www","-")</f>
        <v>-</v>
      </c>
      <c r="U115" s="30" t="str">
        <f>IF(AND($G$8=$B$49,$I$8=$M115),"www","-")</f>
        <v>-</v>
      </c>
      <c r="V115" s="30" t="str">
        <f>IF(AND($G$9=$B$49,$I$9=$M115),"www","-")</f>
        <v>-</v>
      </c>
      <c r="W115" s="30" t="str">
        <f>IF(AND($G$10=$B$49,$I$10=$M115),"www","-")</f>
        <v>-</v>
      </c>
      <c r="X115" s="30"/>
      <c r="Y115" s="30"/>
      <c r="Z115" s="30"/>
    </row>
    <row r="116" spans="1:26" ht="20.100000000000001" hidden="1" customHeight="1" x14ac:dyDescent="0.15">
      <c r="B116" s="82"/>
      <c r="C116" s="77"/>
      <c r="H116" s="3"/>
      <c r="J116" s="30"/>
      <c r="K116" s="110" t="s">
        <v>237</v>
      </c>
      <c r="L116" s="66" t="s">
        <v>159</v>
      </c>
      <c r="M116" s="103" t="s">
        <v>785</v>
      </c>
      <c r="N116" s="49">
        <v>4.07</v>
      </c>
      <c r="O116" s="107">
        <v>0.51</v>
      </c>
      <c r="P116" s="107">
        <v>0.3</v>
      </c>
      <c r="Q116" s="107">
        <v>0.12</v>
      </c>
      <c r="R116" s="66"/>
      <c r="S116" s="30" t="str">
        <f>IF(AND($G$6=$B$49,$I$6=$M116),"xxx","-")</f>
        <v>-</v>
      </c>
      <c r="T116" s="30" t="str">
        <f>IF(AND($G$7=$B$49,$I$7=$M116),"xxx","-")</f>
        <v>-</v>
      </c>
      <c r="U116" s="30" t="str">
        <f>IF(AND($G$8=$B$49,$I$8=$M116),"xxx","-")</f>
        <v>-</v>
      </c>
      <c r="V116" s="30" t="str">
        <f>IF(AND($G$9=$B$49,$I$9=$M116),"xxx","-")</f>
        <v>-</v>
      </c>
      <c r="W116" s="30" t="str">
        <f>IF(AND($G$10=$B$49,$I$10=$M116),"xxx","-")</f>
        <v>-</v>
      </c>
      <c r="X116" s="30"/>
      <c r="Y116" s="30"/>
      <c r="Z116" s="30"/>
    </row>
    <row r="117" spans="1:26" ht="20.100000000000001" hidden="1" customHeight="1" x14ac:dyDescent="0.15">
      <c r="A117" s="3"/>
      <c r="B117" s="82"/>
      <c r="C117" s="77"/>
      <c r="D117" s="3"/>
      <c r="E117" s="3"/>
      <c r="F117" s="3"/>
      <c r="G117" s="3"/>
      <c r="H117" s="3"/>
      <c r="J117" s="30"/>
      <c r="K117" s="110" t="s">
        <v>238</v>
      </c>
      <c r="L117" s="66" t="s">
        <v>159</v>
      </c>
      <c r="M117" s="103" t="s">
        <v>786</v>
      </c>
      <c r="N117" s="49">
        <v>4.07</v>
      </c>
      <c r="O117" s="107">
        <v>0.32</v>
      </c>
      <c r="P117" s="107">
        <v>0.21</v>
      </c>
      <c r="Q117" s="107">
        <v>0.09</v>
      </c>
      <c r="R117" s="66"/>
      <c r="S117" s="30" t="str">
        <f>IF(AND($G$6=$B$49,$I$6=$M117),"yyy","-")</f>
        <v>-</v>
      </c>
      <c r="T117" s="30" t="str">
        <f>IF(AND($G$7=$B$49,$I$7=$M117),"yyy","-")</f>
        <v>-</v>
      </c>
      <c r="U117" s="30" t="str">
        <f>IF(AND($G$8=$B$49,$I$8=$M117),"yyy","-")</f>
        <v>-</v>
      </c>
      <c r="V117" s="30" t="str">
        <f>IF(AND($G$9=$B$49,$I$9=$M117),"yyy","-")</f>
        <v>-</v>
      </c>
      <c r="W117" s="30" t="str">
        <f>IF(AND($G$10=$B$49,$I$10=$M117),"yyy","-")</f>
        <v>-</v>
      </c>
      <c r="X117" s="30"/>
      <c r="Y117" s="30"/>
      <c r="Z117" s="30"/>
    </row>
    <row r="118" spans="1:26" ht="20.100000000000001" hidden="1" customHeight="1" x14ac:dyDescent="0.15">
      <c r="B118" s="82"/>
      <c r="C118" s="77"/>
      <c r="J118" s="30"/>
      <c r="K118" s="110" t="s">
        <v>239</v>
      </c>
      <c r="L118" s="66" t="s">
        <v>159</v>
      </c>
      <c r="M118" s="103" t="s">
        <v>292</v>
      </c>
      <c r="N118" s="49">
        <v>4.07</v>
      </c>
      <c r="O118" s="107">
        <v>0.49</v>
      </c>
      <c r="P118" s="107">
        <v>0.26</v>
      </c>
      <c r="Q118" s="107">
        <v>0.11</v>
      </c>
      <c r="R118" s="66"/>
      <c r="S118" s="30" t="str">
        <f>IF(AND($G$6=$B$49,$I$6=$M118),"zzz","-")</f>
        <v>-</v>
      </c>
      <c r="T118" s="30" t="str">
        <f>IF(AND($G$7=$B$49,$I$7=$M118),"zzz","-")</f>
        <v>-</v>
      </c>
      <c r="U118" s="30" t="str">
        <f>IF(AND($G$8=$B$49,$I$8=$M118),"zzz","-")</f>
        <v>-</v>
      </c>
      <c r="V118" s="30" t="str">
        <f>IF(AND($G$9=$B$49,$I$9=$M118),"zzz","-")</f>
        <v>-</v>
      </c>
      <c r="W118" s="30" t="str">
        <f>IF(AND($G$10=$B$49,$I$10=$M118),"zzz","-")</f>
        <v>-</v>
      </c>
      <c r="X118" s="30"/>
      <c r="Y118" s="30"/>
      <c r="Z118" s="30"/>
    </row>
    <row r="119" spans="1:26" ht="20.100000000000001" hidden="1" customHeight="1" x14ac:dyDescent="0.15">
      <c r="B119" s="82"/>
      <c r="C119" s="77"/>
      <c r="J119" s="30"/>
      <c r="K119" s="110" t="s">
        <v>240</v>
      </c>
      <c r="L119" s="66" t="s">
        <v>159</v>
      </c>
      <c r="M119" s="103" t="s">
        <v>293</v>
      </c>
      <c r="N119" s="49">
        <v>4.07</v>
      </c>
      <c r="O119" s="107">
        <v>0.3</v>
      </c>
      <c r="P119" s="107">
        <v>0.19</v>
      </c>
      <c r="Q119" s="107">
        <v>0.08</v>
      </c>
      <c r="R119" s="66"/>
      <c r="S119" s="30" t="str">
        <f>IF(AND($G$6=$B$49,$I$6=$M119),"aaaa","-")</f>
        <v>-</v>
      </c>
      <c r="T119" s="30" t="str">
        <f>IF(AND($G$7=$B$49,$I$7=$M119),"aaaa","-")</f>
        <v>-</v>
      </c>
      <c r="U119" s="30" t="str">
        <f>IF(AND($G$8=$B$49,$I$8=$M119),"aaaa","-")</f>
        <v>-</v>
      </c>
      <c r="V119" s="30" t="str">
        <f>IF(AND($G$9=$B$49,$I$9=$M119),"aaaa","-")</f>
        <v>-</v>
      </c>
      <c r="W119" s="30" t="str">
        <f>IF(AND($G$10=$B$49,$I$10=$M119),"aaaa","-")</f>
        <v>-</v>
      </c>
      <c r="X119" s="30"/>
      <c r="Y119" s="30"/>
      <c r="Z119" s="30"/>
    </row>
    <row r="120" spans="1:26" ht="20.100000000000001" hidden="1" customHeight="1" x14ac:dyDescent="0.15">
      <c r="B120" s="82"/>
      <c r="C120" s="77"/>
      <c r="K120" s="110" t="s">
        <v>241</v>
      </c>
      <c r="L120" s="66" t="s">
        <v>159</v>
      </c>
      <c r="M120" s="103" t="s">
        <v>294</v>
      </c>
      <c r="N120" s="49">
        <v>4.07</v>
      </c>
      <c r="O120" s="107">
        <v>0.13</v>
      </c>
      <c r="P120" s="107">
        <v>0.1</v>
      </c>
      <c r="Q120" s="107">
        <v>0.05</v>
      </c>
      <c r="R120" s="66"/>
      <c r="S120" s="30" t="str">
        <f>IF(AND($G$6=$B$49,$I$6=$M120),"bbbb","-")</f>
        <v>-</v>
      </c>
      <c r="T120" s="30" t="str">
        <f>IF(AND($G$7=$B$49,$I$7=$M120),"bbbb","-")</f>
        <v>-</v>
      </c>
      <c r="U120" s="30" t="str">
        <f>IF(AND($G$8=$B$49,$I$8=$M120),"bbbb","-")</f>
        <v>-</v>
      </c>
      <c r="V120" s="30" t="str">
        <f>IF(AND($G$9=$B$49,$I$9=$M120),"bbbb","-")</f>
        <v>-</v>
      </c>
      <c r="W120" s="30" t="str">
        <f>IF(AND($G$10=$B$49,$I$10=$M120),"bbbb","-")</f>
        <v>-</v>
      </c>
      <c r="X120" s="30"/>
      <c r="Y120" s="30"/>
      <c r="Z120" s="30"/>
    </row>
    <row r="121" spans="1:26" ht="20.100000000000001" hidden="1" customHeight="1" x14ac:dyDescent="0.15">
      <c r="B121" s="82"/>
      <c r="C121" s="77"/>
      <c r="K121" s="110" t="s">
        <v>242</v>
      </c>
      <c r="L121" s="66" t="s">
        <v>159</v>
      </c>
      <c r="M121" s="103" t="s">
        <v>295</v>
      </c>
      <c r="N121" s="49">
        <v>4.07</v>
      </c>
      <c r="O121" s="107">
        <v>0.42</v>
      </c>
      <c r="P121" s="107">
        <v>0.22</v>
      </c>
      <c r="Q121" s="107">
        <v>0.1</v>
      </c>
      <c r="R121" s="66"/>
      <c r="S121" s="30" t="str">
        <f>IF(AND($G$6=$B$49,$I$6=$M121),"cccc","-")</f>
        <v>-</v>
      </c>
      <c r="T121" s="30" t="str">
        <f>IF(AND($G$7=$B$49,$I$7=$M121),"cccc","-")</f>
        <v>-</v>
      </c>
      <c r="U121" s="30" t="str">
        <f>IF(AND($G$8=$B$49,$I$8=$M121),"cccc","-")</f>
        <v>-</v>
      </c>
      <c r="V121" s="30" t="str">
        <f>IF(AND($G$9=$B$49,$I$9=$M121),"cccc","-")</f>
        <v>-</v>
      </c>
      <c r="W121" s="30" t="str">
        <f>IF(AND($G$10=$B$49,$I$10=$M121),"cccc","-")</f>
        <v>-</v>
      </c>
      <c r="X121" s="30"/>
      <c r="Y121" s="30"/>
      <c r="Z121" s="30"/>
    </row>
    <row r="122" spans="1:26" ht="20.100000000000001" hidden="1" customHeight="1" x14ac:dyDescent="0.15">
      <c r="B122" s="82"/>
      <c r="C122" s="77"/>
      <c r="K122" s="110" t="s">
        <v>243</v>
      </c>
      <c r="L122" s="66" t="s">
        <v>159</v>
      </c>
      <c r="M122" s="103" t="s">
        <v>296</v>
      </c>
      <c r="N122" s="49">
        <v>4.07</v>
      </c>
      <c r="O122" s="107">
        <v>0.63</v>
      </c>
      <c r="P122" s="107">
        <v>0.3</v>
      </c>
      <c r="Q122" s="107">
        <v>0.14000000000000001</v>
      </c>
      <c r="S122" s="30" t="str">
        <f>IF(AND($G$6=$B$49,$I$6=$M122),"dddd","-")</f>
        <v>-</v>
      </c>
      <c r="T122" s="30" t="str">
        <f>IF(AND($G$7=$B$49,$I$7=$M122),"dddd","-")</f>
        <v>-</v>
      </c>
      <c r="U122" s="30" t="str">
        <f>IF(AND($G$8=$B$49,$I$8=$M122),"dddd","-")</f>
        <v>-</v>
      </c>
      <c r="V122" s="30" t="str">
        <f>IF(AND($G$9=$B$49,$I$9=$M122),"dddd","-")</f>
        <v>-</v>
      </c>
      <c r="W122" s="30" t="str">
        <f>IF(AND($G$10=$B$49,$I$10=$M122),"dddd","-")</f>
        <v>-</v>
      </c>
      <c r="X122" s="30"/>
      <c r="Y122" s="30"/>
      <c r="Z122" s="30"/>
    </row>
    <row r="123" spans="1:26" ht="20.100000000000001" hidden="1" customHeight="1" x14ac:dyDescent="0.15">
      <c r="B123" s="82"/>
      <c r="C123" s="77"/>
      <c r="K123" s="110" t="s">
        <v>244</v>
      </c>
      <c r="L123" s="66" t="s">
        <v>159</v>
      </c>
      <c r="M123" s="103" t="s">
        <v>315</v>
      </c>
      <c r="N123" s="55">
        <v>4.6500000000000004</v>
      </c>
      <c r="O123" s="107">
        <v>0.49</v>
      </c>
      <c r="P123" s="107">
        <v>0.26</v>
      </c>
      <c r="Q123" s="107">
        <v>0.11</v>
      </c>
      <c r="S123" s="30" t="str">
        <f>IF(AND($G$6=$B$49,$I$6=$M123),"eeee","-")</f>
        <v>-</v>
      </c>
      <c r="T123" s="30" t="str">
        <f>IF(AND($G$7=$B$49,$I$7=$M123),"eeee","-")</f>
        <v>-</v>
      </c>
      <c r="U123" s="30" t="str">
        <f>IF(AND($G$8=$B$49,$I$8=$M123),"eeee","-")</f>
        <v>-</v>
      </c>
      <c r="V123" s="30" t="str">
        <f>IF(AND($G$9=$B$49,$I$9=$M123),"eeee","-")</f>
        <v>-</v>
      </c>
      <c r="W123" s="30" t="str">
        <f>IF(AND($G$10=$B$49,$I$10=$M123),"eeee","-")</f>
        <v>-</v>
      </c>
      <c r="X123" s="30"/>
      <c r="Y123" s="30"/>
      <c r="Z123" s="30"/>
    </row>
    <row r="124" spans="1:26" ht="20.100000000000001" hidden="1" customHeight="1" x14ac:dyDescent="0.15">
      <c r="B124" s="82"/>
      <c r="C124" s="77"/>
      <c r="K124" s="110" t="s">
        <v>245</v>
      </c>
      <c r="L124" s="66" t="s">
        <v>159</v>
      </c>
      <c r="M124" s="103" t="s">
        <v>316</v>
      </c>
      <c r="N124" s="55">
        <v>4.6500000000000004</v>
      </c>
      <c r="O124" s="107">
        <v>0.3</v>
      </c>
      <c r="P124" s="107">
        <v>0.19</v>
      </c>
      <c r="Q124" s="107">
        <v>0.08</v>
      </c>
      <c r="S124" s="30" t="str">
        <f>IF(AND($G$6=$B$49,$I$6=$M124),"ffff","-")</f>
        <v>-</v>
      </c>
      <c r="T124" s="30" t="str">
        <f>IF(AND($G$7=$B$49,$I$7=$M124),"ffff","-")</f>
        <v>-</v>
      </c>
      <c r="U124" s="30" t="str">
        <f>IF(AND($G$8=$B$49,$I$8=$M124),"ffff","-")</f>
        <v>-</v>
      </c>
      <c r="V124" s="30" t="str">
        <f>IF(AND($G$9=$B$49,$I$9=$M124),"ffff","-")</f>
        <v>-</v>
      </c>
      <c r="W124" s="30" t="str">
        <f>IF(AND($G$10=$B$49,$I$10=$M124),"ffff","-")</f>
        <v>-</v>
      </c>
      <c r="X124" s="30"/>
      <c r="Y124" s="30"/>
      <c r="Z124" s="30"/>
    </row>
    <row r="125" spans="1:26" ht="20.100000000000001" hidden="1" customHeight="1" x14ac:dyDescent="0.15">
      <c r="B125" s="82"/>
      <c r="C125" s="77"/>
      <c r="K125" s="110" t="s">
        <v>246</v>
      </c>
      <c r="L125" s="66" t="s">
        <v>159</v>
      </c>
      <c r="M125" s="103" t="s">
        <v>317</v>
      </c>
      <c r="N125" s="55">
        <v>4.6500000000000004</v>
      </c>
      <c r="O125" s="107">
        <v>0.13</v>
      </c>
      <c r="P125" s="107">
        <v>0.1</v>
      </c>
      <c r="Q125" s="107">
        <v>0.05</v>
      </c>
      <c r="S125" s="30" t="str">
        <f>IF(AND($G$6=$B$49,$I$6=$M125),"gggg","-")</f>
        <v>-</v>
      </c>
      <c r="T125" s="30" t="str">
        <f>IF(AND($G$7=$B$49,$I$7=$M125),"gggg","-")</f>
        <v>-</v>
      </c>
      <c r="U125" s="30" t="str">
        <f>IF(AND($G$8=$B$49,$I$8=$M125),"gggg","-")</f>
        <v>-</v>
      </c>
      <c r="V125" s="30" t="str">
        <f>IF(AND($G$9=$B$49,$I$9=$M125),"gggg","-")</f>
        <v>-</v>
      </c>
      <c r="W125" s="30" t="str">
        <f>IF(AND($G$10=$B$49,$I$10=$M125),"gggg","-")</f>
        <v>-</v>
      </c>
      <c r="X125" s="30"/>
      <c r="Y125" s="30"/>
      <c r="Z125" s="30"/>
    </row>
    <row r="126" spans="1:26" ht="20.100000000000001" hidden="1" customHeight="1" x14ac:dyDescent="0.15">
      <c r="B126" s="82"/>
      <c r="C126" s="77"/>
      <c r="K126" s="110" t="s">
        <v>247</v>
      </c>
      <c r="L126" s="66" t="s">
        <v>159</v>
      </c>
      <c r="M126" s="103" t="s">
        <v>318</v>
      </c>
      <c r="N126" s="55">
        <v>4.6500000000000004</v>
      </c>
      <c r="O126" s="107">
        <v>0.42</v>
      </c>
      <c r="P126" s="107">
        <v>0.22</v>
      </c>
      <c r="Q126" s="107">
        <v>0.1</v>
      </c>
      <c r="S126" s="30" t="str">
        <f>IF(AND($G$6=$B$49,$I$6=$M126),"hhhh","-")</f>
        <v>-</v>
      </c>
      <c r="T126" s="30" t="str">
        <f>IF(AND($G$7=$B$49,$I$7=$M126),"hhhh","-")</f>
        <v>-</v>
      </c>
      <c r="U126" s="30" t="str">
        <f>IF(AND($G$8=$B$49,$I$8=$M126),"hhhh","-")</f>
        <v>-</v>
      </c>
      <c r="V126" s="30" t="str">
        <f>IF(AND($G$9=$B$49,$I$9=$M126),"hhhh","-")</f>
        <v>-</v>
      </c>
      <c r="W126" s="30" t="str">
        <f>IF(AND($G$10=$B$49,$I$10=$M126),"hhhh","-")</f>
        <v>-</v>
      </c>
      <c r="X126" s="30"/>
      <c r="Y126" s="30"/>
      <c r="Z126" s="30"/>
    </row>
    <row r="127" spans="1:26" ht="20.100000000000001" hidden="1" customHeight="1" x14ac:dyDescent="0.15">
      <c r="K127" s="110" t="s">
        <v>248</v>
      </c>
      <c r="L127" s="66" t="s">
        <v>159</v>
      </c>
      <c r="M127" s="103" t="s">
        <v>319</v>
      </c>
      <c r="N127" s="55">
        <v>4.6500000000000004</v>
      </c>
      <c r="O127" s="107">
        <v>0.63</v>
      </c>
      <c r="P127" s="107">
        <v>0.3</v>
      </c>
      <c r="Q127" s="107">
        <v>0.14000000000000001</v>
      </c>
      <c r="S127" s="30" t="str">
        <f>IF(AND($G$6=$B$49,$I$6=$M127),"iiii","-")</f>
        <v>-</v>
      </c>
      <c r="T127" s="30" t="str">
        <f>IF(AND($G$7=$B$49,$I$7=$M127),"iiii","-")</f>
        <v>-</v>
      </c>
      <c r="U127" s="30" t="str">
        <f>IF(AND($G$8=$B$49,$I$8=$M127),"iiii","-")</f>
        <v>-</v>
      </c>
      <c r="V127" s="30" t="str">
        <f>IF(AND($G$9=$B$49,$I$9=$M127),"iiii","-")</f>
        <v>-</v>
      </c>
      <c r="W127" s="30" t="str">
        <f>IF(AND($G$10=$B$49,$I$10=$M127),"iiii","-")</f>
        <v>-</v>
      </c>
      <c r="X127" s="30"/>
      <c r="Y127" s="30"/>
      <c r="Z127" s="30"/>
    </row>
    <row r="128" spans="1:26" ht="20.100000000000001" hidden="1" customHeight="1" x14ac:dyDescent="0.15">
      <c r="K128" s="110" t="s">
        <v>249</v>
      </c>
      <c r="L128" s="66" t="s">
        <v>159</v>
      </c>
      <c r="M128" s="103" t="s">
        <v>301</v>
      </c>
      <c r="N128" s="55">
        <v>4.07</v>
      </c>
      <c r="O128" s="107">
        <v>0.63</v>
      </c>
      <c r="P128" s="107">
        <v>0.3</v>
      </c>
      <c r="Q128" s="107">
        <v>0.14000000000000001</v>
      </c>
      <c r="S128" s="30" t="str">
        <f>IF(AND($G$6=$B$49,$I$6=$M128),"jjjj","-")</f>
        <v>-</v>
      </c>
      <c r="T128" s="30" t="str">
        <f>IF(AND($G$7=$B$49,$I$7=$M128),"jjjj","-")</f>
        <v>-</v>
      </c>
      <c r="U128" s="30" t="str">
        <f>IF(AND($G$8=$B$49,$I$8=$M128),"jjjj","-")</f>
        <v>-</v>
      </c>
      <c r="V128" s="30" t="str">
        <f>IF(AND($G$9=$B$49,$I$9=$M128),"jjjj","-")</f>
        <v>-</v>
      </c>
      <c r="W128" s="30" t="str">
        <f>IF(AND($G$10=$B$49,$I$10=$M128),"jjjj","-")</f>
        <v>-</v>
      </c>
      <c r="X128" s="30"/>
      <c r="Y128" s="30"/>
      <c r="Z128" s="30"/>
    </row>
    <row r="129" spans="11:26" ht="20.100000000000001" hidden="1" customHeight="1" x14ac:dyDescent="0.15">
      <c r="K129" s="110" t="s">
        <v>250</v>
      </c>
      <c r="L129" s="66" t="s">
        <v>159</v>
      </c>
      <c r="M129" s="103" t="s">
        <v>320</v>
      </c>
      <c r="N129" s="55">
        <v>4.6500000000000004</v>
      </c>
      <c r="O129" s="107">
        <v>0.63</v>
      </c>
      <c r="P129" s="107">
        <v>0.3</v>
      </c>
      <c r="Q129" s="107">
        <v>0.14000000000000001</v>
      </c>
      <c r="S129" s="30" t="str">
        <f>IF(AND($G$6=$B$49,$I$6=$M129),"kkkk","-")</f>
        <v>-</v>
      </c>
      <c r="T129" s="30" t="str">
        <f>IF(AND($G$7=$B$49,$I$7=$M129),"kkkk","-")</f>
        <v>-</v>
      </c>
      <c r="U129" s="30" t="str">
        <f>IF(AND($G$8=$B$49,$I$8=$M129),"kkkk","-")</f>
        <v>-</v>
      </c>
      <c r="V129" s="30" t="str">
        <f>IF(AND($G$9=$B$49,$I$9=$M129),"kkkk","-")</f>
        <v>-</v>
      </c>
      <c r="W129" s="30" t="str">
        <f>IF(AND($G$10=$B$49,$I$10=$M129),"kkkk","-")</f>
        <v>-</v>
      </c>
      <c r="X129" s="30"/>
      <c r="Y129" s="30"/>
      <c r="Z129" s="30"/>
    </row>
    <row r="130" spans="11:26" ht="20.100000000000001" hidden="1" customHeight="1" x14ac:dyDescent="0.15">
      <c r="K130" s="110" t="s">
        <v>251</v>
      </c>
      <c r="L130" s="66" t="s">
        <v>159</v>
      </c>
      <c r="M130" s="103" t="s">
        <v>321</v>
      </c>
      <c r="N130" s="55">
        <v>6.51</v>
      </c>
      <c r="O130" s="107">
        <v>0.7</v>
      </c>
      <c r="P130" s="107">
        <v>0.3</v>
      </c>
      <c r="Q130" s="107">
        <v>0.15</v>
      </c>
      <c r="S130" s="30" t="str">
        <f>IF(AND($G$6=$B$49,$I$6=$M130),"llll","-")</f>
        <v>-</v>
      </c>
      <c r="T130" s="30" t="str">
        <f>IF(AND($G$7=$B$49,$I$7=$M130),"llll","-")</f>
        <v>-</v>
      </c>
      <c r="U130" s="30" t="str">
        <f>IF(AND($G$8=$B$49,$I$8=$M130),"llll","-")</f>
        <v>-</v>
      </c>
      <c r="V130" s="30" t="str">
        <f>IF(AND($G$9=$B$49,$I$9=$M130),"llll","-")</f>
        <v>-</v>
      </c>
      <c r="W130" s="30" t="str">
        <f>IF(AND($G$10=$B$49,$I$10=$M130),"llll","-")</f>
        <v>-</v>
      </c>
      <c r="X130" s="30"/>
      <c r="Y130" s="30"/>
      <c r="Z130" s="30"/>
    </row>
    <row r="131" spans="11:26" ht="20.100000000000001" hidden="1" customHeight="1" x14ac:dyDescent="0.15">
      <c r="K131" s="110" t="s">
        <v>252</v>
      </c>
      <c r="L131" s="66" t="s">
        <v>159</v>
      </c>
      <c r="M131" s="103" t="s">
        <v>278</v>
      </c>
      <c r="N131" s="55">
        <v>6.51</v>
      </c>
      <c r="O131" s="107">
        <v>0.54</v>
      </c>
      <c r="P131" s="107">
        <v>0.28000000000000003</v>
      </c>
      <c r="Q131" s="107">
        <v>0.13</v>
      </c>
      <c r="S131" s="30" t="str">
        <f>IF(AND($G$6=$B$49,$I$6=$M131),"mmmm","-")</f>
        <v>-</v>
      </c>
      <c r="T131" s="30" t="str">
        <f>IF(AND($G$7=$B$49,$I$7=$M131),"mmmm","-")</f>
        <v>-</v>
      </c>
      <c r="U131" s="30" t="str">
        <f>IF(AND($G$8=$B$49,$I$8=$M131),"mmmm","-")</f>
        <v>-</v>
      </c>
      <c r="V131" s="30" t="str">
        <f>IF(AND($G$9=$B$49,$I$9=$M131),"mmmm","-")</f>
        <v>-</v>
      </c>
      <c r="W131" s="30" t="str">
        <f>IF(AND($G$10=$B$49,$I$10=$M131),"mmmm","-")</f>
        <v>-</v>
      </c>
      <c r="X131" s="30"/>
      <c r="Y131" s="30"/>
      <c r="Z131" s="30"/>
    </row>
    <row r="132" spans="11:26" ht="20.100000000000001" hidden="1" customHeight="1" x14ac:dyDescent="0.15">
      <c r="K132" s="110" t="s">
        <v>253</v>
      </c>
      <c r="L132" s="66" t="s">
        <v>159</v>
      </c>
      <c r="M132" s="103" t="s">
        <v>279</v>
      </c>
      <c r="N132" s="55">
        <v>6.51</v>
      </c>
      <c r="O132" s="107">
        <v>0.39</v>
      </c>
      <c r="P132" s="107">
        <v>0.24</v>
      </c>
      <c r="Q132" s="107">
        <v>0.1</v>
      </c>
      <c r="S132" s="30" t="str">
        <f>IF(AND($G$6=$B$49,$I$6=$M132),"nnnn","-")</f>
        <v>-</v>
      </c>
      <c r="T132" s="30" t="str">
        <f>IF(AND($G$7=$B$49,$I$7=$M132),"nnnn","-")</f>
        <v>-</v>
      </c>
      <c r="U132" s="30" t="str">
        <f>IF(AND($G$8=$B$49,$I$8=$M132),"nnnn","-")</f>
        <v>-</v>
      </c>
      <c r="V132" s="30" t="str">
        <f>IF(AND($G$9=$B$49,$I$9=$M132),"nnnn","-")</f>
        <v>-</v>
      </c>
      <c r="W132" s="30" t="str">
        <f>IF(AND($G$10=$B$49,$I$10=$M132),"nnnn","-")</f>
        <v>-</v>
      </c>
      <c r="X132" s="30"/>
      <c r="Y132" s="30"/>
      <c r="Z132" s="30"/>
    </row>
    <row r="133" spans="11:26" ht="20.100000000000001" hidden="1" customHeight="1" x14ac:dyDescent="0.15">
      <c r="K133" s="110" t="s">
        <v>254</v>
      </c>
      <c r="L133" s="66" t="s">
        <v>159</v>
      </c>
      <c r="M133" s="103" t="s">
        <v>280</v>
      </c>
      <c r="N133" s="55">
        <v>6.51</v>
      </c>
      <c r="O133" s="107">
        <v>0.18</v>
      </c>
      <c r="P133" s="107">
        <v>0.16</v>
      </c>
      <c r="Q133" s="107">
        <v>0.06</v>
      </c>
      <c r="S133" s="30" t="str">
        <f>IF(AND($G$6=$B$49,$I$6=$M133),"oooo","-")</f>
        <v>-</v>
      </c>
      <c r="T133" s="30" t="str">
        <f>IF(AND($G$7=$B$49,$I$7=$M133),"oooo","-")</f>
        <v>-</v>
      </c>
      <c r="U133" s="30" t="str">
        <f>IF(AND($G$8=$B$49,$I$8=$M133),"oooo","-")</f>
        <v>-</v>
      </c>
      <c r="V133" s="30" t="str">
        <f>IF(AND($G$9=$B$49,$I$9=$M133),"oooo","-")</f>
        <v>-</v>
      </c>
      <c r="W133" s="30" t="str">
        <f>IF(AND($G$10=$B$49,$I$10=$M133),"oooo","-")</f>
        <v>-</v>
      </c>
      <c r="X133" s="30"/>
      <c r="Y133" s="30"/>
      <c r="Z133" s="30"/>
    </row>
    <row r="134" spans="11:26" ht="20.100000000000001" hidden="1" customHeight="1" x14ac:dyDescent="0.15">
      <c r="K134" s="110" t="s">
        <v>255</v>
      </c>
      <c r="L134" s="66" t="s">
        <v>159</v>
      </c>
      <c r="M134" s="103" t="s">
        <v>323</v>
      </c>
      <c r="N134" s="55">
        <v>6.51</v>
      </c>
      <c r="O134" s="107">
        <v>0.5</v>
      </c>
      <c r="P134" s="107">
        <v>0.27</v>
      </c>
      <c r="Q134" s="107">
        <v>0.12</v>
      </c>
      <c r="S134" s="30" t="str">
        <f>IF(AND($G$6=$B$49,$I$6=$M134),"pppp","-")</f>
        <v>-</v>
      </c>
      <c r="T134" s="30" t="str">
        <f>IF(AND($G$7=$B$49,$I$7=$M134),"pppp","-")</f>
        <v>-</v>
      </c>
      <c r="U134" s="30" t="str">
        <f>IF(AND($G$8=$B$49,$I$8=$M134),"pppp","-")</f>
        <v>-</v>
      </c>
      <c r="V134" s="30" t="str">
        <f>IF(AND($G$9=$B$49,$I$9=$M134),"pppp","-")</f>
        <v>-</v>
      </c>
      <c r="W134" s="30" t="str">
        <f>IF(AND($G$10=$B$49,$I$10=$M134),"pppp","-")</f>
        <v>-</v>
      </c>
      <c r="X134" s="30"/>
      <c r="Y134" s="30"/>
      <c r="Z134" s="30"/>
    </row>
    <row r="135" spans="11:26" ht="20.25" hidden="1" customHeight="1" x14ac:dyDescent="0.15"/>
    <row r="136" spans="11:26" ht="20.25" hidden="1" customHeight="1" x14ac:dyDescent="0.15">
      <c r="S136" s="30" t="s">
        <v>265</v>
      </c>
      <c r="T136" s="30" t="s">
        <v>116</v>
      </c>
      <c r="U136" s="30" t="s">
        <v>117</v>
      </c>
      <c r="V136" s="30" t="s">
        <v>118</v>
      </c>
      <c r="W136" s="30" t="s">
        <v>119</v>
      </c>
      <c r="X136" s="30"/>
      <c r="Y136" s="30"/>
      <c r="Z136" s="30"/>
    </row>
    <row r="137" spans="11:26" ht="20.25" hidden="1" customHeight="1" x14ac:dyDescent="0.15">
      <c r="S137" s="54">
        <f t="array" ref="S137">SUM(IF(S41:S134="a",$N$41:$N$134,""))+SUM(IF(S41:S134="b",$N$41:$N$134,""))+SUM(IF(S41:S134="c",$N$41:$N$134,""))+SUM(IF(S41:S134="d",$N$41:$N$134,""))+SUM(IF(S41:S134="e",$N$41:$N$134,""))+SUM(IF(S41:S134="f",$N$41:$N$134,""))+SUM(IF(S41:S134="g",$N$41:$N$134,""))+SUM(IF(S41:S134="h",$N$41:$N$134,""))+SUM(IF(S41:S134="i",$N$41:$N$134,""))+SUM(IF(S41:S134="j",$N$41:$N$134,""))+SUM(IF(S41:S134="k",$N$41:$N$134,""))+SUM(IF(S41:S134="l",$N$41:$N$134,""))+SUM(IF(S41:S134="m",$N$41:$N$134,""))+SUM(IF(S41:S134="n",$N$41:$N$134,""))+SUM(IF(S41:S134="o",$N$41:$N$134,""))+SUM(IF(S41:S134="p",$N$41:$N$134,""))+SUM(IF(S41:S134="q",$N$41:$N$134,""))+SUM(IF(S41:S134="r",$N$41:$N$134,""))+SUM(IF(S41:S134="s",$N$41:$N$134,""))+SUM(IF(S41:S134="t",$N$41:$N$134,""))+SUM(IF(S41:S134="u",$N$41:$N$134,""))+SUM(IF(S41:S134="v",$N$41:$N$134,""))+SUM(IF(S41:S134="w",$N$41:$N$134,""))+SUM(IF(S41:S134="x",$N$41:$N$134,""))+SUM(IF(S41:S134="y",$N$41:$N$134,""))+SUM(IF(S41:S134="z",$N$41:$N$134,""))</f>
        <v>0</v>
      </c>
      <c r="T137" s="54">
        <f t="array" ref="T137">SUM(IF(T41:T134="a",$N$41:$N$134,""))+SUM(IF(T41:T134="b",$N$41:$N$134,""))+SUM(IF(T41:T134="c",$N$41:$N$134,""))+SUM(IF(T41:T134="d",$N$41:$N$134,""))+SUM(IF(T41:T134="e",$N$41:$N$134,""))+SUM(IF(T41:T134="f",$N$41:$N$134,""))+SUM(IF(T41:T134="g",$N$41:$N$134,""))+SUM(IF(T41:T134="h",$N$41:$N$134,""))+SUM(IF(T41:T134="i",$N$41:$N$134,""))+SUM(IF(T41:T134="j",$N$41:$N$134,""))+SUM(IF(T41:T134="k",$N$41:$N$134,""))+SUM(IF(T41:T134="l",$N$41:$N$134,""))+SUM(IF(T41:T134="m",$N$41:$N$134,""))+SUM(IF(T41:T134="n",$N$41:$N$134,""))+SUM(IF(T41:T134="o",$N$41:$N$134,""))+SUM(IF(T41:T134="p",$N$41:$N$134,""))+SUM(IF(T41:T134="q",$N$41:$N$134,""))+SUM(IF(T41:T134="r",$N$41:$N$134,""))+SUM(IF(T41:T134="s",$N$41:$N$134,""))+SUM(IF(T41:T134="t",$N$41:$N$134,""))+SUM(IF(T41:T134="u",$N$41:$N$134,""))+SUM(IF(T41:T134="v",$N$41:$N$134,""))+SUM(IF(T41:T134="w",$N$41:$N$134,""))+SUM(IF(T41:T134="x",$N$41:$N$134,""))+SUM(IF(T41:T134="y",$N$41:$N$134,""))+SUM(IF(T41:T134="z",$N$41:$N$134,""))</f>
        <v>0</v>
      </c>
      <c r="U137" s="54">
        <f t="array" ref="U137">SUM(IF(U41:U134="a",$N$41:$N$134,""))+SUM(IF(U41:U134="b",$N$41:$N$134,""))+SUM(IF(U41:U134="c",$N$41:$N$134,""))+SUM(IF(U41:U134="d",$N$41:$N$134,""))+SUM(IF(U41:U134="e",$N$41:$N$134,""))+SUM(IF(U41:U134="f",$N$41:$N$134,""))+SUM(IF(U41:U134="g",$N$41:$N$134,""))+SUM(IF(U41:U134="h",$N$41:$N$134,""))+SUM(IF(U41:U134="i",$N$41:$N$134,""))+SUM(IF(U41:U134="j",$N$41:$N$134,""))+SUM(IF(U41:U134="k",$N$41:$N$134,""))+SUM(IF(U41:U134="l",$N$41:$N$134,""))+SUM(IF(U41:U134="m",$N$41:$N$134,""))+SUM(IF(U41:U134="n",$N$41:$N$134,""))+SUM(IF(U41:U134="o",$N$41:$N$134,""))+SUM(IF(U41:U134="p",$N$41:$N$134,""))+SUM(IF(U41:U134="q",$N$41:$N$134,""))+SUM(IF(U41:U134="r",$N$41:$N$134,""))+SUM(IF(U41:U134="s",$N$41:$N$134,""))+SUM(IF(U41:U134="t",$N$41:$N$134,""))+SUM(IF(U41:U134="u",$N$41:$N$134,""))+SUM(IF(U41:U134="v",$N$41:$N$134,""))+SUM(IF(U41:U134="w",$N$41:$N$134,""))+SUM(IF(U41:U134="x",$N$41:$N$134,""))+SUM(IF(U41:U134="y",$N$41:$N$134,""))+SUM(IF(U41:U134="z",$N$41:$N$134,""))</f>
        <v>0</v>
      </c>
      <c r="V137" s="54">
        <f t="array" ref="V137">SUM(IF(V41:V134="a",$N$41:$N$134,""))+SUM(IF(V41:V134="b",$N$41:$N$134,""))+SUM(IF(V41:V134="c",$N$41:$N$134,""))+SUM(IF(V41:V134="d",$N$41:$N$134,""))+SUM(IF(V41:V134="e",$N$41:$N$134,""))+SUM(IF(V41:V134="f",$N$41:$N$134,""))+SUM(IF(V41:V134="g",$N$41:$N$134,""))+SUM(IF(V41:V134="h",$N$41:$N$134,""))+SUM(IF(V41:V134="i",$N$41:$N$134,""))+SUM(IF(V41:V134="j",$N$41:$N$134,""))+SUM(IF(V41:V134="k",$N$41:$N$134,""))+SUM(IF(V41:V134="l",$N$41:$N$134,""))+SUM(IF(V41:V134="m",$N$41:$N$134,""))+SUM(IF(V41:V134="n",$N$41:$N$134,""))+SUM(IF(V41:V134="o",$N$41:$N$134,""))+SUM(IF(V41:V134="p",$N$41:$N$134,""))+SUM(IF(V41:V134="q",$N$41:$N$134,""))+SUM(IF(V41:V134="r",$N$41:$N$134,""))+SUM(IF(V41:V134="s",$N$41:$N$134,""))+SUM(IF(V41:V134="t",$N$41:$N$134,""))+SUM(IF(V41:V134="u",$N$41:$N$134,""))+SUM(IF(V41:V134="v",$N$41:$N$134,""))+SUM(IF(V41:V134="w",$N$41:$N$134,""))+SUM(IF(V41:V134="x",$N$41:$N$134,""))+SUM(IF(V41:V134="y",$N$41:$N$134,""))+SUM(IF(V41:V134="z",$N$41:$N$134,""))</f>
        <v>0</v>
      </c>
      <c r="W137" s="54">
        <f t="array" ref="W137">SUM(IF(W41:W134="a",$N$41:$N$134,""))+SUM(IF(W41:W134="b",$N$41:$N$134,""))+SUM(IF(W41:W134="c",$N$41:$N$134,""))+SUM(IF(W41:W134="d",$N$41:$N$134,""))+SUM(IF(W41:W134="e",$N$41:$N$134,""))+SUM(IF(W41:W134="f",$N$41:$N$134,""))+SUM(IF(W41:W134="g",$N$41:$N$134,""))+SUM(IF(W41:W134="h",$N$41:$N$134,""))+SUM(IF(W41:W134="i",$N$41:$N$134,""))+SUM(IF(W41:W134="j",$N$41:$N$134,""))+SUM(IF(W41:W134="k",$N$41:$N$134,""))+SUM(IF(W41:W134="l",$N$41:$N$134,""))+SUM(IF(W41:W134="m",$N$41:$N$134,""))+SUM(IF(W41:W134="n",$N$41:$N$134,""))+SUM(IF(W41:W134="o",$N$41:$N$134,""))+SUM(IF(W41:W134="p",$N$41:$N$134,""))+SUM(IF(W41:W134="q",$N$41:$N$134,""))+SUM(IF(W41:W134="r",$N$41:$N$134,""))+SUM(IF(W41:W134="s",$N$41:$N$134,""))+SUM(IF(W41:W134="t",$N$41:$N$134,""))+SUM(IF(W41:W134="u",$N$41:$N$134,""))+SUM(IF(W41:W134="v",$N$41:$N$134,""))+SUM(IF(W41:W134="w",$N$41:$N$134,""))+SUM(IF(W41:W134="x",$N$41:$N$134,""))+SUM(IF(W41:W134="y",$N$41:$N$134,""))+SUM(IF(W41:W134="z",$N$41:$N$134,""))</f>
        <v>0</v>
      </c>
      <c r="X137" t="s">
        <v>256</v>
      </c>
      <c r="Y137" s="54"/>
      <c r="Z137" s="54"/>
    </row>
    <row r="138" spans="11:26" ht="20.25" hidden="1" customHeight="1" x14ac:dyDescent="0.15">
      <c r="S138" s="54">
        <f t="array" ref="S138">SUM(IF(S41:S134="aa",$N$41:$N$134,""))+SUM(IF(S41:S134="bb",$N$41:$N$134,""))+SUM(IF(S41:S134="cc",$N$41:$N$134,""))+SUM(IF(S41:S134="dd",$N$41:$N$134,""))+SUM(IF(S41:S134="ee",$N$41:$N$134,""))+SUM(IF(S41:S134="ff",$N$41:$N$134,""))+SUM(IF(S41:S134="gg",$N$41:$N$134,""))+SUM(IF(S41:S134="hh",$N$41:$N$134,""))+SUM(IF(S41:S134="ii",$N$41:$N$134,""))+SUM(IF(S41:S134="jj",$N$41:$N$134,""))+SUM(IF(S41:S134="kk",$N$41:$N$134,""))+SUM(IF(S41:S134="ll",$N$41:$N$134,""))+SUM(IF(S41:S134="mm",$N$41:$N$134,""))+SUM(IF(S41:S134="nn",$N$41:$N$134,""))+SUM(IF(S41:S134="oo",$N$41:$N$134,""))+SUM(IF(S41:S134="pp",$N$41:$N$134,""))+SUM(IF(S41:S134="qq",$N$41:$N$134,""))+SUM(IF(S41:S134="rr",$N$41:$N$134,""))+SUM(IF(S41:S134="ss",$N$41:$N$134,""))+SUM(IF(S41:S134="tt",$N$41:$N$134,""))+SUM(IF(S41:S134="uu",$N$41:$N$134,""))+SUM(IF(S41:S134="vv",$N$41:$N$134,""))+SUM(IF(S41:S134="ww",$N$41:$N$134,""))+SUM(IF(S41:S134="xx",$N$41:$N$134,""))+SUM(IF(S41:S134="yy",$N$41:$N$134,""))+SUM(IF(S41:S134="zz",$N$41:$N$134,""))</f>
        <v>0</v>
      </c>
      <c r="T138" s="54">
        <f t="array" ref="T138">SUM(IF(T41:T134="aa",$N$41:$N$134,""))+SUM(IF(T41:T134="bb",$N$41:$N$134,""))+SUM(IF(T41:T134="cc",$N$41:$N$134,""))+SUM(IF(T41:T134="dd",$N$41:$N$134,""))+SUM(IF(T41:T134="ee",$N$41:$N$134,""))+SUM(IF(T41:T134="ff",$N$41:$N$134,""))+SUM(IF(T41:T134="gg",$N$41:$N$134,""))+SUM(IF(T41:T134="hh",$N$41:$N$134,""))+SUM(IF(T41:T134="ii",$N$41:$N$134,""))+SUM(IF(T41:T134="jj",$N$41:$N$134,""))+SUM(IF(T41:T134="kk",$N$41:$N$134,""))+SUM(IF(T41:T134="ll",$N$41:$N$134,""))+SUM(IF(T41:T134="mm",$N$41:$N$134,""))+SUM(IF(T41:T134="nn",$N$41:$N$134,""))+SUM(IF(T41:T134="oo",$N$41:$N$134,""))+SUM(IF(T41:T134="pp",$N$41:$N$134,""))+SUM(IF(T41:T134="qq",$N$41:$N$134,""))+SUM(IF(T41:T134="rr",$N$41:$N$134,""))+SUM(IF(T41:T134="ss",$N$41:$N$134,""))+SUM(IF(T41:T134="tt",$N$41:$N$134,""))+SUM(IF(T41:T134="uu",$N$41:$N$134,""))+SUM(IF(T41:T134="vv",$N$41:$N$134,""))+SUM(IF(T41:T134="ww",$N$41:$N$134,""))+SUM(IF(T41:T134="xx",$N$41:$N$134,""))+SUM(IF(T41:T134="yy",$N$41:$N$134,""))+SUM(IF(T41:T134="zz",$N$41:$N$134,""))</f>
        <v>0</v>
      </c>
      <c r="U138" s="54">
        <f t="array" ref="U138">SUM(IF(U41:U134="aa",$N$41:$N$134,""))+SUM(IF(U41:U134="bb",$N$41:$N$134,""))+SUM(IF(U41:U134="cc",$N$41:$N$134,""))+SUM(IF(U41:U134="dd",$N$41:$N$134,""))+SUM(IF(U41:U134="ee",$N$41:$N$134,""))+SUM(IF(U41:U134="ff",$N$41:$N$134,""))+SUM(IF(U41:U134="gg",$N$41:$N$134,""))+SUM(IF(U41:U134="hh",$N$41:$N$134,""))+SUM(IF(U41:U134="ii",$N$41:$N$134,""))+SUM(IF(U41:U134="jj",$N$41:$N$134,""))+SUM(IF(U41:U134="kk",$N$41:$N$134,""))+SUM(IF(U41:U134="ll",$N$41:$N$134,""))+SUM(IF(U41:U134="mm",$N$41:$N$134,""))+SUM(IF(U41:U134="nn",$N$41:$N$134,""))+SUM(IF(U41:U134="oo",$N$41:$N$134,""))+SUM(IF(U41:U134="pp",$N$41:$N$134,""))+SUM(IF(U41:U134="qq",$N$41:$N$134,""))+SUM(IF(U41:U134="rr",$N$41:$N$134,""))+SUM(IF(U41:U134="ss",$N$41:$N$134,""))+SUM(IF(U41:U134="tt",$N$41:$N$134,""))+SUM(IF(U41:U134="uu",$N$41:$N$134,""))+SUM(IF(U41:U134="vv",$N$41:$N$134,""))+SUM(IF(U41:U134="ww",$N$41:$N$134,""))+SUM(IF(U41:U134="xx",$N$41:$N$134,""))+SUM(IF(U41:U134="yy",$N$41:$N$134,""))+SUM(IF(U41:U134="zz",$N$41:$N$134,""))</f>
        <v>0</v>
      </c>
      <c r="V138" s="54">
        <f t="array" ref="V138">SUM(IF(V41:V134="aa",$N$41:$N$134,""))+SUM(IF(V41:V134="bb",$N$41:$N$134,""))+SUM(IF(V41:V134="cc",$N$41:$N$134,""))+SUM(IF(V41:V134="dd",$N$41:$N$134,""))+SUM(IF(V41:V134="ee",$N$41:$N$134,""))+SUM(IF(V41:V134="ff",$N$41:$N$134,""))+SUM(IF(V41:V134="gg",$N$41:$N$134,""))+SUM(IF(V41:V134="hh",$N$41:$N$134,""))+SUM(IF(V41:V134="ii",$N$41:$N$134,""))+SUM(IF(V41:V134="jj",$N$41:$N$134,""))+SUM(IF(V41:V134="kk",$N$41:$N$134,""))+SUM(IF(V41:V134="ll",$N$41:$N$134,""))+SUM(IF(V41:V134="mm",$N$41:$N$134,""))+SUM(IF(V41:V134="nn",$N$41:$N$134,""))+SUM(IF(V41:V134="oo",$N$41:$N$134,""))+SUM(IF(V41:V134="pp",$N$41:$N$134,""))+SUM(IF(V41:V134="qq",$N$41:$N$134,""))+SUM(IF(V41:V134="rr",$N$41:$N$134,""))+SUM(IF(V41:V134="ss",$N$41:$N$134,""))+SUM(IF(V41:V134="tt",$N$41:$N$134,""))+SUM(IF(V41:V134="uu",$N$41:$N$134,""))+SUM(IF(V41:V134="vv",$N$41:$N$134,""))+SUM(IF(V41:V134="ww",$N$41:$N$134,""))+SUM(IF(V41:V134="xx",$N$41:$N$134,""))+SUM(IF(V41:V134="yy",$N$41:$N$134,""))+SUM(IF(V41:V134="zz",$N$41:$N$134,""))</f>
        <v>0</v>
      </c>
      <c r="W138" s="54">
        <f t="array" ref="W138">SUM(IF(W41:W134="aa",$N$41:$N$134,""))+SUM(IF(W41:W134="bb",$N$41:$N$134,""))+SUM(IF(W41:W134="cc",$N$41:$N$134,""))+SUM(IF(W41:W134="dd",$N$41:$N$134,""))+SUM(IF(W41:W134="ee",$N$41:$N$134,""))+SUM(IF(W41:W134="ff",$N$41:$N$134,""))+SUM(IF(W41:W134="gg",$N$41:$N$134,""))+SUM(IF(W41:W134="hh",$N$41:$N$134,""))+SUM(IF(W41:W134="ii",$N$41:$N$134,""))+SUM(IF(W41:W134="jj",$N$41:$N$134,""))+SUM(IF(W41:W134="kk",$N$41:$N$134,""))+SUM(IF(W41:W134="ll",$N$41:$N$134,""))+SUM(IF(W41:W134="mm",$N$41:$N$134,""))+SUM(IF(W41:W134="nn",$N$41:$N$134,""))+SUM(IF(W41:W134="oo",$N$41:$N$134,""))+SUM(IF(W41:W134="pp",$N$41:$N$134,""))+SUM(IF(W41:W134="qq",$N$41:$N$134,""))+SUM(IF(W41:W134="rr",$N$41:$N$134,""))+SUM(IF(W41:W134="ss",$N$41:$N$134,""))+SUM(IF(W41:W134="tt",$N$41:$N$134,""))+SUM(IF(W41:W134="uu",$N$41:$N$134,""))+SUM(IF(W41:W134="vv",$N$41:$N$134,""))+SUM(IF(W41:W134="ww",$N$41:$N$134,""))+SUM(IF(W41:W134="xx",$N$41:$N$134,""))+SUM(IF(W41:W134="yy",$N$41:$N$134,""))+SUM(IF(W41:W134="zz",$N$41:$N$134,""))</f>
        <v>0</v>
      </c>
      <c r="X138" t="s">
        <v>257</v>
      </c>
      <c r="Y138" s="54"/>
      <c r="Z138" s="54"/>
    </row>
    <row r="139" spans="11:26" ht="20.25" hidden="1" customHeight="1" x14ac:dyDescent="0.15">
      <c r="S139" s="54">
        <f t="array" ref="S139">SUM(IF(S41:S134="aaa",$N$41:$N$134,""))+SUM(IF(S41:S134="bbb",$N$41:$N$134,""))+SUM(IF(S41:S134="ccc",$N$41:$N$134,""))+SUM(IF(S41:S134="ddd",$N$41:$N$134,""))+SUM(IF(S41:S134="eee",$N$41:$N$134,""))+SUM(IF(S41:S134="fff",$N$41:$N$134,""))+SUM(IF(S41:S134="ggg",$N$41:$N$134,""))+SUM(IF(S41:S134="hhh",$N$41:$N$134,""))+SUM(IF(S41:S134="iii",$N$41:$N$134,""))+SUM(IF(S41:S134="jjj",$N$41:$N$134,""))+SUM(IF(S41:S134="kkk",$N$41:$N$134,""))+SUM(IF(S41:S134="lll",$N$41:$N$134,""))+SUM(IF(S41:S134="mmm",$N$41:$N$134,""))+SUM(IF(S41:S134="nnn",$N$41:$N$134,""))+SUM(IF(S41:S134="ooo",$N$41:$N$134,""))+SUM(IF(S41:S134="ppp",$N$41:$N$134,""))+SUM(IF(S41:S134="qqq",$N$41:$N$134,""))+SUM(IF(S41:S134="rrr",$N$41:$N$134,""))+SUM(IF(S41:S134="sss",$N$41:$N$134,""))+SUM(IF(S41:S134="ttt",$N$41:$N$134,""))+SUM(IF(S41:S134="uuu",$N$41:$N$134,""))+SUM(IF(S41:S134="vvv",$N$41:$N$134,""))+SUM(IF(S41:S134="www",$N$41:$N$134,""))+SUM(IF(S41:S134="xxx",$N$41:$N$134,""))+SUM(IF(S41:S134="yyy",$N$41:$N$134,""))+SUM(IF(S41:S134="zzz",$N$41:$N$134,""))</f>
        <v>0</v>
      </c>
      <c r="T139" s="54">
        <f t="array" ref="T139">SUM(IF(T41:T134="aaa",$N$41:$N$134,""))+SUM(IF(T41:T134="bbb",$N$41:$N$134,""))+SUM(IF(T41:T134="ccc",$N$41:$N$134,""))+SUM(IF(T41:T134="ddd",$N$41:$N$134,""))+SUM(IF(T41:T134="eee",$N$41:$N$134,""))+SUM(IF(T41:T134="fff",$N$41:$N$134,""))+SUM(IF(T41:T134="ggg",$N$41:$N$134,""))+SUM(IF(T41:T134="hhh",$N$41:$N$134,""))+SUM(IF(T41:T134="iii",$N$41:$N$134,""))+SUM(IF(T41:T134="jjj",$N$41:$N$134,""))+SUM(IF(T41:T134="kkk",$N$41:$N$134,""))+SUM(IF(T41:T134="lll",$N$41:$N$134,""))+SUM(IF(T41:T134="mmm",$N$41:$N$134,""))+SUM(IF(T41:T134="nnn",$N$41:$N$134,""))+SUM(IF(T41:T134="ooo",$N$41:$N$134,""))+SUM(IF(T41:T134="ppp",$N$41:$N$134,""))+SUM(IF(T41:T134="qqq",$N$41:$N$134,""))+SUM(IF(T41:T134="rrr",$N$41:$N$134,""))+SUM(IF(T41:T134="sss",$N$41:$N$134,""))+SUM(IF(T41:T134="ttt",$N$41:$N$134,""))+SUM(IF(T41:T134="uuu",$N$41:$N$134,""))+SUM(IF(T41:T134="vvv",$N$41:$N$134,""))+SUM(IF(T41:T134="www",$N$41:$N$134,""))+SUM(IF(T41:T134="xxx",$N$41:$N$134,""))+SUM(IF(T41:T134="yyy",$N$41:$N$134,""))+SUM(IF(T41:T134="zzz",$N$41:$N$134,""))</f>
        <v>0</v>
      </c>
      <c r="U139" s="54">
        <f t="array" ref="U139">SUM(IF(U41:U134="aaa",$N$41:$N$134,""))+SUM(IF(U41:U134="bbb",$N$41:$N$134,""))+SUM(IF(U41:U134="ccc",$N$41:$N$134,""))+SUM(IF(U41:U134="ddd",$N$41:$N$134,""))+SUM(IF(U41:U134="eee",$N$41:$N$134,""))+SUM(IF(U41:U134="fff",$N$41:$N$134,""))+SUM(IF(U41:U134="ggg",$N$41:$N$134,""))+SUM(IF(U41:U134="hhh",$N$41:$N$134,""))+SUM(IF(U41:U134="iii",$N$41:$N$134,""))+SUM(IF(U41:U134="jjj",$N$41:$N$134,""))+SUM(IF(U41:U134="kkk",$N$41:$N$134,""))+SUM(IF(U41:U134="lll",$N$41:$N$134,""))+SUM(IF(U41:U134="mmm",$N$41:$N$134,""))+SUM(IF(U41:U134="nnn",$N$41:$N$134,""))+SUM(IF(U41:U134="ooo",$N$41:$N$134,""))+SUM(IF(U41:U134="ppp",$N$41:$N$134,""))+SUM(IF(U41:U134="qqq",$N$41:$N$134,""))+SUM(IF(U41:U134="rrr",$N$41:$N$134,""))+SUM(IF(U41:U134="sss",$N$41:$N$134,""))+SUM(IF(U41:U134="ttt",$N$41:$N$134,""))+SUM(IF(U41:U134="uuu",$N$41:$N$134,""))+SUM(IF(U41:U134="vvv",$N$41:$N$134,""))+SUM(IF(U41:U134="www",$N$41:$N$134,""))+SUM(IF(U41:U134="xxx",$N$41:$N$134,""))+SUM(IF(U41:U134="yyy",$N$41:$N$134,""))+SUM(IF(U41:U134="zzz",$N$41:$N$134,""))</f>
        <v>0</v>
      </c>
      <c r="V139" s="54">
        <f t="array" ref="V139">SUM(IF(V41:V134="aaa",$N$41:$N$134,""))+SUM(IF(V41:V134="bbb",$N$41:$N$134,""))+SUM(IF(V41:V134="ccc",$N$41:$N$134,""))+SUM(IF(V41:V134="ddd",$N$41:$N$134,""))+SUM(IF(V41:V134="eee",$N$41:$N$134,""))+SUM(IF(V41:V134="fff",$N$41:$N$134,""))+SUM(IF(V41:V134="ggg",$N$41:$N$134,""))+SUM(IF(V41:V134="hhh",$N$41:$N$134,""))+SUM(IF(V41:V134="iii",$N$41:$N$134,""))+SUM(IF(V41:V134="jjj",$N$41:$N$134,""))+SUM(IF(V41:V134="kkk",$N$41:$N$134,""))+SUM(IF(V41:V134="lll",$N$41:$N$134,""))+SUM(IF(V41:V134="mmm",$N$41:$N$134,""))+SUM(IF(V41:V134="nnn",$N$41:$N$134,""))+SUM(IF(V41:V134="ooo",$N$41:$N$134,""))+SUM(IF(V41:V134="ppp",$N$41:$N$134,""))+SUM(IF(V41:V134="qqq",$N$41:$N$134,""))+SUM(IF(V41:V134="rrr",$N$41:$N$134,""))+SUM(IF(V41:V134="sss",$N$41:$N$134,""))+SUM(IF(V41:V134="ttt",$N$41:$N$134,""))+SUM(IF(V41:V134="uuu",$N$41:$N$134,""))+SUM(IF(V41:V134="vvv",$N$41:$N$134,""))+SUM(IF(V41:V134="www",$N$41:$N$134,""))+SUM(IF(V41:V134="xxx",$N$41:$N$134,""))+SUM(IF(V41:V134="yyy",$N$41:$N$134,""))+SUM(IF(V41:V134="zzz",$N$41:$N$134,""))</f>
        <v>0</v>
      </c>
      <c r="W139" s="54">
        <f t="array" ref="W139">SUM(IF(W41:W134="aaa",$N$41:$N$134,""))+SUM(IF(W41:W134="bbb",$N$41:$N$134,""))+SUM(IF(W41:W134="ccc",$N$41:$N$134,""))+SUM(IF(W41:W134="ddd",$N$41:$N$134,""))+SUM(IF(W41:W134="eee",$N$41:$N$134,""))+SUM(IF(W41:W134="fff",$N$41:$N$134,""))+SUM(IF(W41:W134="ggg",$N$41:$N$134,""))+SUM(IF(W41:W134="hhh",$N$41:$N$134,""))+SUM(IF(W41:W134="iii",$N$41:$N$134,""))+SUM(IF(W41:W134="jjj",$N$41:$N$134,""))+SUM(IF(W41:W134="kkk",$N$41:$N$134,""))+SUM(IF(W41:W134="lll",$N$41:$N$134,""))+SUM(IF(W41:W134="mmm",$N$41:$N$134,""))+SUM(IF(W41:W134="nnn",$N$41:$N$134,""))+SUM(IF(W41:W134="ooo",$N$41:$N$134,""))+SUM(IF(W41:W134="ppp",$N$41:$N$134,""))+SUM(IF(W41:W134="qqq",$N$41:$N$134,""))+SUM(IF(W41:W134="rrr",$N$41:$N$134,""))+SUM(IF(W41:W134="sss",$N$41:$N$134,""))+SUM(IF(W41:W134="ttt",$N$41:$N$134,""))+SUM(IF(W41:W134="uuu",$N$41:$N$134,""))+SUM(IF(W41:W134="vvv",$N$41:$N$134,""))+SUM(IF(W41:W134="www",$N$41:$N$134,""))+SUM(IF(W41:W134="xxx",$N$41:$N$134,""))+SUM(IF(W41:W134="yyy",$N$41:$N$134,""))+SUM(IF(W41:W134="zzz",$N$41:$N$134,""))</f>
        <v>0</v>
      </c>
      <c r="X139" t="s">
        <v>258</v>
      </c>
      <c r="Y139" s="54"/>
      <c r="Z139" s="54"/>
    </row>
    <row r="140" spans="11:26" ht="20.25" hidden="1" customHeight="1" x14ac:dyDescent="0.15">
      <c r="S140" s="54">
        <f t="array" ref="S140">SUM(IF(S41:S134="aaaa",$N$41:$N$134,""))+SUM(IF(S41:S134="bbbb",$N$41:$N$134,""))+SUM(IF(S41:S134="cccc",$N$41:$N$134,""))+SUM(IF(S41:S134="dddd",$N$41:$N$134,""))+SUM(IF(S41:S134="eeee",$N$41:$N$134,""))+SUM(IF(S41:S134="ffff",$N$41:$N$134,""))+SUM(IF(S41:S134="gggg",$N$41:$N$134,""))+SUM(IF(S41:S134="hhhh",$N$41:$N$134,""))+SUM(IF(S41:S134="iiii",$N$41:$N$134,""))+SUM(IF(S41:S134="jjjj",$N$41:$N$134,""))+SUM(IF(S41:S134="kkkk",$N$41:$N$134,""))+SUM(IF(S41:S134="llll",$N$41:$N$134,""))+SUM(IF(S41:S134="mmmm",$N$41:$N$134,""))+SUM(IF(S41:S134="nnnn",$N$41:$N$134,""))+SUM(IF(S41:S134="oooo",$N$41:$N$134,""))+SUM(IF(S41:S134="pppp",$N$41:$N$134,""))</f>
        <v>0</v>
      </c>
      <c r="T140" s="54">
        <f t="array" ref="T140">SUM(IF(T41:T134="aaaa",$N$41:$N$134,""))+SUM(IF(T41:T134="bbbb",$N$41:$N$134,""))+SUM(IF(T41:T134="cccc",$N$41:$N$134,""))+SUM(IF(T41:T134="dddd",$N$41:$N$134,""))+SUM(IF(T41:T134="eeee",$N$41:$N$134,""))+SUM(IF(T41:T134="ffff",$N$41:$N$134,""))+SUM(IF(T41:T134="gggg",$N$41:$N$134,""))+SUM(IF(T41:T134="hhhh",$N$41:$N$134,""))+SUM(IF(T41:T134="iiii",$N$41:$N$134,""))+SUM(IF(T41:T134="jjjj",$N$41:$N$134,""))+SUM(IF(T41:T134="kkkk",$N$41:$N$134,""))+SUM(IF(T41:T134="llll",$N$41:$N$134,""))+SUM(IF(T41:T134="mmmm",$N$41:$N$134,""))+SUM(IF(T41:T134="nnnn",$N$41:$N$134,""))+SUM(IF(T41:T134="oooo",$N$41:$N$134,""))+SUM(IF(T41:T134="pppp",$N$41:$N$134,""))</f>
        <v>0</v>
      </c>
      <c r="U140" s="54">
        <f t="array" ref="U140">SUM(IF(U41:U134="aaaa",$N$41:$N$134,""))+SUM(IF(U41:U134="bbbb",$N$41:$N$134,""))+SUM(IF(U41:U134="cccc",$N$41:$N$134,""))+SUM(IF(U41:U134="dddd",$N$41:$N$134,""))+SUM(IF(U41:U134="eeee",$N$41:$N$134,""))+SUM(IF(U41:U134="ffff",$N$41:$N$134,""))+SUM(IF(U41:U134="gggg",$N$41:$N$134,""))+SUM(IF(U41:U134="hhhh",$N$41:$N$134,""))+SUM(IF(U41:U134="iiii",$N$41:$N$134,""))+SUM(IF(U41:U134="jjjj",$N$41:$N$134,""))+SUM(IF(U41:U134="kkkk",$N$41:$N$134,""))+SUM(IF(U41:U134="llll",$N$41:$N$134,""))+SUM(IF(U41:U134="mmmm",$N$41:$N$134,""))+SUM(IF(U41:U134="nnnn",$N$41:$N$134,""))+SUM(IF(U41:U134="oooo",$N$41:$N$134,""))+SUM(IF(U41:U134="pppp",$N$41:$N$134,""))</f>
        <v>0</v>
      </c>
      <c r="V140" s="54">
        <f t="array" ref="V140">SUM(IF(V41:V134="aaaa",$N$41:$N$134,""))+SUM(IF(V41:V134="bbbb",$N$41:$N$134,""))+SUM(IF(V41:V134="cccc",$N$41:$N$134,""))+SUM(IF(V41:V134="dddd",$N$41:$N$134,""))+SUM(IF(V41:V134="eeee",$N$41:$N$134,""))+SUM(IF(V41:V134="ffff",$N$41:$N$134,""))+SUM(IF(V41:V134="gggg",$N$41:$N$134,""))+SUM(IF(V41:V134="hhhh",$N$41:$N$134,""))+SUM(IF(V41:V134="iiii",$N$41:$N$134,""))+SUM(IF(V41:V134="jjjj",$N$41:$N$134,""))+SUM(IF(V41:V134="kkkk",$N$41:$N$134,""))+SUM(IF(V41:V134="llll",$N$41:$N$134,""))+SUM(IF(V41:V134="mmmm",$N$41:$N$134,""))+SUM(IF(V41:V134="nnnn",$N$41:$N$134,""))+SUM(IF(V41:V134="oooo",$N$41:$N$134,""))+SUM(IF(V41:V134="pppp",$N$41:$N$134,""))</f>
        <v>0</v>
      </c>
      <c r="W140" s="54">
        <f t="array" ref="W140">SUM(IF(W41:W134="aaaa",$N$41:$N$134,""))+SUM(IF(W41:W134="bbbb",$N$41:$N$134,""))+SUM(IF(W41:W134="cccc",$N$41:$N$134,""))+SUM(IF(W41:W134="dddd",$N$41:$N$134,""))+SUM(IF(W41:W134="eeee",$N$41:$N$134,""))+SUM(IF(W41:W134="ffff",$N$41:$N$134,""))+SUM(IF(W41:W134="gggg",$N$41:$N$134,""))+SUM(IF(W41:W134="hhhh",$N$41:$N$134,""))+SUM(IF(W41:W134="iiii",$N$41:$N$134,""))+SUM(IF(W41:W134="jjjj",$N$41:$N$134,""))+SUM(IF(W41:W134="kkkk",$N$41:$N$134,""))+SUM(IF(W41:W134="llll",$N$41:$N$134,""))+SUM(IF(W41:W134="mmmm",$N$41:$N$134,""))+SUM(IF(W41:W134="nnnn",$N$41:$N$134,""))+SUM(IF(W41:W134="oooo",$N$41:$N$134,""))+SUM(IF(W41:W134="pppp",$N$41:$N$134,""))</f>
        <v>0</v>
      </c>
      <c r="X140" t="s">
        <v>811</v>
      </c>
      <c r="Y140" s="54"/>
      <c r="Z140" s="54"/>
    </row>
    <row r="141" spans="11:26" ht="20.25" hidden="1" customHeight="1" x14ac:dyDescent="0.15">
      <c r="S141" s="111">
        <f>SUM(S137:S140)</f>
        <v>0</v>
      </c>
      <c r="T141" s="111">
        <f>SUM(T137:T140)</f>
        <v>0</v>
      </c>
      <c r="U141" s="111">
        <f>SUM(U137:U140)</f>
        <v>0</v>
      </c>
      <c r="V141" s="111">
        <f>SUM(V137:V140)</f>
        <v>0</v>
      </c>
      <c r="W141" s="111">
        <f>SUM(W137:W140)</f>
        <v>0</v>
      </c>
      <c r="X141" s="2" t="s">
        <v>7</v>
      </c>
      <c r="Y141" s="29"/>
      <c r="Z141" s="29"/>
    </row>
    <row r="142" spans="11:26" ht="20.25" hidden="1" customHeight="1" x14ac:dyDescent="0.15">
      <c r="Y142" s="29"/>
      <c r="Z142" s="29"/>
    </row>
    <row r="143" spans="11:26" ht="20.25" hidden="1" customHeight="1" x14ac:dyDescent="0.15">
      <c r="S143" s="54">
        <f t="array" ref="S143">SUM(IF(S41:S134="a",$O$41:$O$134,""))+SUM(IF(S41:S134="b",$O$41:$O$134,""))+SUM(IF(S41:S134="c",$O$41:$O$134,""))+SUM(IF(S41:S134="d",$O$41:$O$134,""))+SUM(IF(S41:S134="e",$O$41:$O$134,""))+SUM(IF(S41:S134="f",$O$41:$O$134,""))+SUM(IF(S41:S134="g",$O$41:$O$134,""))+SUM(IF(S41:S134="h",$O$41:$O$134,""))+SUM(IF(S41:S134="i",$O$41:$O$134,""))+SUM(IF(S41:S134="j",$O$41:$O$134,""))+SUM(IF(S41:S134="k",$O$41:$O$134,""))+SUM(IF(S41:S134="l",$O$41:$O$134,""))+SUM(IF(S41:S134="m",$O$41:$O$134,""))+SUM(IF(S41:S134="n",$O$41:$O$134,""))+SUM(IF(S41:S134="o",$O$41:$O$134,""))+SUM(IF(S41:S134="p",$O$41:$O$134,""))+SUM(IF(S41:S134="q",$O$41:$O$134,""))+SUM(IF(S41:S134="r",$O$41:$O$134,""))+SUM(IF(S41:S134="s",$O$41:$O$134,""))+SUM(IF(S41:S134="t",$O$41:$O$134,""))+SUM(IF(S41:S134="u",$O$41:$O$134,""))+SUM(IF(S41:S134="v",$O$41:$O$134,""))+SUM(IF(S41:S134="w",$O$41:$O$134,""))+SUM(IF(S41:S134="x",$O$41:$O$134,""))+SUM(IF(S41:S134="y",$O$41:$O$134,""))+SUM(IF(S41:S134="z",$O$41:$O$134,""))</f>
        <v>0</v>
      </c>
      <c r="T143" s="54">
        <f t="array" ref="T143">SUM(IF(T41:T134="a",$O$41:$O$134,""))+SUM(IF(T41:T134="b",$O$41:$O$134,""))+SUM(IF(T41:T134="c",$O$41:$O$134,""))+SUM(IF(T41:T134="d",$O$41:$O$134,""))+SUM(IF(T41:T134="e",$O$41:$O$134,""))+SUM(IF(T41:T134="f",$O$41:$O$134,""))+SUM(IF(T41:T134="g",$O$41:$O$134,""))+SUM(IF(T41:T134="h",$O$41:$O$134,""))+SUM(IF(T41:T134="i",$O$41:$O$134,""))+SUM(IF(T41:T134="j",$O$41:$O$134,""))+SUM(IF(T41:T134="k",$O$41:$O$134,""))+SUM(IF(T41:T134="l",$O$41:$O$134,""))+SUM(IF(T41:T134="m",$O$41:$O$134,""))+SUM(IF(T41:T134="n",$O$41:$O$134,""))+SUM(IF(T41:T134="o",$O$41:$O$134,""))+SUM(IF(T41:T134="p",$O$41:$O$134,""))+SUM(IF(T41:T134="q",$O$41:$O$134,""))+SUM(IF(T41:T134="r",$O$41:$O$134,""))+SUM(IF(T41:T134="s",$O$41:$O$134,""))+SUM(IF(T41:T134="t",$O$41:$O$134,""))+SUM(IF(T41:T134="u",$O$41:$O$134,""))+SUM(IF(T41:T134="v",$O$41:$O$134,""))+SUM(IF(T41:T134="w",$O$41:$O$134,""))+SUM(IF(T41:T134="x",$O$41:$O$134,""))+SUM(IF(T41:T134="y",$O$41:$O$134,""))+SUM(IF(T41:T134="z",$O$41:$O$134,""))</f>
        <v>0</v>
      </c>
      <c r="U143" s="54">
        <f t="array" ref="U143">SUM(IF(U41:U134="a",$O$41:$O$134,""))+SUM(IF(U41:U134="b",$O$41:$O$134,""))+SUM(IF(U41:U134="c",$O$41:$O$134,""))+SUM(IF(U41:U134="d",$O$41:$O$134,""))+SUM(IF(U41:U134="e",$O$41:$O$134,""))+SUM(IF(U41:U134="f",$O$41:$O$134,""))+SUM(IF(U41:U134="g",$O$41:$O$134,""))+SUM(IF(U41:U134="h",$O$41:$O$134,""))+SUM(IF(U41:U134="i",$O$41:$O$134,""))+SUM(IF(U41:U134="j",$O$41:$O$134,""))+SUM(IF(U41:U134="k",$O$41:$O$134,""))+SUM(IF(U41:U134="l",$O$41:$O$134,""))+SUM(IF(U41:U134="m",$O$41:$O$134,""))+SUM(IF(U41:U134="n",$O$41:$O$134,""))+SUM(IF(U41:U134="o",$O$41:$O$134,""))+SUM(IF(U41:U134="p",$O$41:$O$134,""))+SUM(IF(U41:U134="q",$O$41:$O$134,""))+SUM(IF(U41:U134="r",$O$41:$O$134,""))+SUM(IF(U41:U134="s",$O$41:$O$134,""))+SUM(IF(U41:U134="t",$O$41:$O$134,""))+SUM(IF(U41:U134="u",$O$41:$O$134,""))+SUM(IF(U41:U134="v",$O$41:$O$134,""))+SUM(IF(U41:U134="w",$O$41:$O$134,""))+SUM(IF(U41:U134="x",$O$41:$O$134,""))+SUM(IF(U41:U134="y",$O$41:$O$134,""))+SUM(IF(U41:U134="z",$O$41:$O$134,""))</f>
        <v>0</v>
      </c>
      <c r="V143" s="54">
        <f t="array" ref="V143">SUM(IF(V41:V134="a",$O$41:$O$134,""))+SUM(IF(V41:V134="b",$O$41:$O$134,""))+SUM(IF(V41:V134="c",$O$41:$O$134,""))+SUM(IF(V41:V134="d",$O$41:$O$134,""))+SUM(IF(V41:V134="e",$O$41:$O$134,""))+SUM(IF(V41:V134="f",$O$41:$O$134,""))+SUM(IF(V41:V134="g",$O$41:$O$134,""))+SUM(IF(V41:V134="h",$O$41:$O$134,""))+SUM(IF(V41:V134="i",$O$41:$O$134,""))+SUM(IF(V41:V134="j",$O$41:$O$134,""))+SUM(IF(V41:V134="k",$O$41:$O$134,""))+SUM(IF(V41:V134="l",$O$41:$O$134,""))+SUM(IF(V41:V134="m",$O$41:$O$134,""))+SUM(IF(V41:V134="n",$O$41:$O$134,""))+SUM(IF(V41:V134="o",$O$41:$O$134,""))+SUM(IF(V41:V134="p",$O$41:$O$134,""))+SUM(IF(V41:V134="q",$O$41:$O$134,""))+SUM(IF(V41:V134="r",$O$41:$O$134,""))+SUM(IF(V41:V134="s",$O$41:$O$134,""))+SUM(IF(V41:V134="t",$O$41:$O$134,""))+SUM(IF(V41:V134="u",$O$41:$O$134,""))+SUM(IF(V41:V134="v",$O$41:$O$134,""))+SUM(IF(V41:V134="w",$O$41:$O$134,""))+SUM(IF(V41:V134="x",$O$41:$O$134,""))+SUM(IF(V41:V134="y",$O$41:$O$134,""))+SUM(IF(V41:V134="z",$O$41:$O$134,""))</f>
        <v>0</v>
      </c>
      <c r="W143" s="54">
        <f t="array" ref="W143">SUM(IF(W41:W134="a",$O$41:$O$134,""))+SUM(IF(W41:W134="b",$O$41:$O$134,""))+SUM(IF(W41:W134="c",$O$41:$O$134,""))+SUM(IF(W41:W134="d",$O$41:$O$134,""))+SUM(IF(W41:W134="e",$O$41:$O$134,""))+SUM(IF(W41:W134="f",$O$41:$O$134,""))+SUM(IF(W41:W134="g",$O$41:$O$134,""))+SUM(IF(W41:W134="h",$O$41:$O$134,""))+SUM(IF(W41:W134="i",$O$41:$O$134,""))+SUM(IF(W41:W134="j",$O$41:$O$134,""))+SUM(IF(W41:W134="k",$O$41:$O$134,""))+SUM(IF(W41:W134="l",$O$41:$O$134,""))+SUM(IF(W41:W134="m",$O$41:$O$134,""))+SUM(IF(W41:W134="n",$O$41:$O$134,""))+SUM(IF(W41:W134="o",$O$41:$O$134,""))+SUM(IF(W41:W134="p",$O$41:$O$134,""))+SUM(IF(W41:W134="q",$O$41:$O$134,""))+SUM(IF(W41:W134="r",$O$41:$O$134,""))+SUM(IF(W41:W134="s",$O$41:$O$134,""))+SUM(IF(W41:W134="t",$O$41:$O$134,""))+SUM(IF(W41:W134="u",$O$41:$O$134,""))+SUM(IF(W41:W134="v",$O$41:$O$134,""))+SUM(IF(W41:W134="w",$O$41:$O$134,""))+SUM(IF(W41:W134="x",$O$41:$O$134,""))+SUM(IF(W41:W134="y",$O$41:$O$134,""))+SUM(IF(W41:W134="z",$O$41:$O$134,""))</f>
        <v>0</v>
      </c>
      <c r="X143" t="s">
        <v>256</v>
      </c>
      <c r="Y143" s="95"/>
      <c r="Z143" s="95"/>
    </row>
    <row r="144" spans="11:26" ht="20.25" hidden="1" customHeight="1" x14ac:dyDescent="0.15">
      <c r="S144" s="54">
        <f t="array" ref="S144">SUM(IF(S41:S134="aa",$O$41:$O$134,""))+SUM(IF(S41:S134="bb",$O$41:$O$134,""))+SUM(IF(S41:S134="cc",$O$41:$O$134,""))+SUM(IF(S41:S134="dd",$O$41:$O$134,""))+SUM(IF(S41:S134="ee",$O$41:$O$134,""))+SUM(IF(S41:S134="ff",$O$41:$O$134,""))+SUM(IF(S41:S134="gg",$O$41:$O$134,""))+SUM(IF(S41:S134="hh",$O$41:$O$134,""))+SUM(IF(S41:S134="ii",$O$41:$O$134,""))+SUM(IF(S41:S134="jj",$O$41:$O$134,""))+SUM(IF(S41:S134="kk",$O$41:$O$134,""))+SUM(IF(S41:S134="ll",$O$41:$O$134,""))+SUM(IF(S41:S134="mm",$O$41:$O$134,""))+SUM(IF(S41:S134="nn",$O$41:$O$134,""))+SUM(IF(S41:S134="oo",$O$41:$O$134,""))+SUM(IF(S41:S134="pp",$O$41:$O$134,""))+SUM(IF(S41:S134="qq",$O$41:$O$134,""))+SUM(IF(S41:S134="rr",$O$41:$O$134,""))+SUM(IF(S41:S134="ss",$O$41:$O$134,""))+SUM(IF(S41:S134="tt",$O$41:$O$134,""))+SUM(IF(S41:S134="uu",$O$41:$O$134,""))+SUM(IF(S41:S134="vv",$O$41:$O$134,""))+SUM(IF(S41:S134="ww",$O$41:$O$134,""))+SUM(IF(S41:S134="xx",$O$41:$O$134,""))+SUM(IF(S41:S134="yy",$O$41:$O$134,""))+SUM(IF(S41:S134="zz",$O$41:$O$134,""))</f>
        <v>0</v>
      </c>
      <c r="T144" s="54">
        <f t="array" ref="T144">SUM(IF(T41:T134="aa",$O$41:$O$134,""))+SUM(IF(T41:T134="bb",$O$41:$O$134,""))+SUM(IF(T41:T134="cc",$O$41:$O$134,""))+SUM(IF(T41:T134="dd",$O$41:$O$134,""))+SUM(IF(T41:T134="ee",$O$41:$O$134,""))+SUM(IF(T41:T134="ff",$O$41:$O$134,""))+SUM(IF(T41:T134="gg",$O$41:$O$134,""))+SUM(IF(T41:T134="hh",$O$41:$O$134,""))+SUM(IF(T41:T134="ii",$O$41:$O$134,""))+SUM(IF(T41:T134="jj",$O$41:$O$134,""))+SUM(IF(T41:T134="kk",$O$41:$O$134,""))+SUM(IF(T41:T134="ll",$O$41:$O$134,""))+SUM(IF(T41:T134="mm",$O$41:$O$134,""))+SUM(IF(T41:T134="nn",$O$41:$O$134,""))+SUM(IF(T41:T134="oo",$O$41:$O$134,""))+SUM(IF(T41:T134="pp",$O$41:$O$134,""))+SUM(IF(T41:T134="qq",$O$41:$O$134,""))+SUM(IF(T41:T134="rr",$O$41:$O$134,""))+SUM(IF(T41:T134="ss",$O$41:$O$134,""))+SUM(IF(T41:T134="tt",$O$41:$O$134,""))+SUM(IF(T41:T134="uu",$O$41:$O$134,""))+SUM(IF(T41:T134="vv",$O$41:$O$134,""))+SUM(IF(T41:T134="ww",$O$41:$O$134,""))+SUM(IF(T41:T134="xx",$O$41:$O$134,""))+SUM(IF(T41:T134="yy",$O$41:$O$134,""))+SUM(IF(T41:T134="zz",$O$41:$O$134,""))</f>
        <v>0</v>
      </c>
      <c r="U144" s="54">
        <f t="array" ref="U144">SUM(IF(U41:U134="aa",$O$41:$O$134,""))+SUM(IF(U41:U134="bb",$O$41:$O$134,""))+SUM(IF(U41:U134="cc",$O$41:$O$134,""))+SUM(IF(U41:U134="dd",$O$41:$O$134,""))+SUM(IF(U41:U134="ee",$O$41:$O$134,""))+SUM(IF(U41:U134="ff",$O$41:$O$134,""))+SUM(IF(U41:U134="gg",$O$41:$O$134,""))+SUM(IF(U41:U134="hh",$O$41:$O$134,""))+SUM(IF(U41:U134="ii",$O$41:$O$134,""))+SUM(IF(U41:U134="jj",$O$41:$O$134,""))+SUM(IF(U41:U134="kk",$O$41:$O$134,""))+SUM(IF(U41:U134="ll",$O$41:$O$134,""))+SUM(IF(U41:U134="mm",$O$41:$O$134,""))+SUM(IF(U41:U134="nn",$O$41:$O$134,""))+SUM(IF(U41:U134="oo",$O$41:$O$134,""))+SUM(IF(U41:U134="pp",$O$41:$O$134,""))+SUM(IF(U41:U134="qq",$O$41:$O$134,""))+SUM(IF(U41:U134="rr",$O$41:$O$134,""))+SUM(IF(U41:U134="ss",$O$41:$O$134,""))+SUM(IF(U41:U134="tt",$O$41:$O$134,""))+SUM(IF(U41:U134="uu",$O$41:$O$134,""))+SUM(IF(U41:U134="vv",$O$41:$O$134,""))+SUM(IF(U41:U134="ww",$O$41:$O$134,""))+SUM(IF(U41:U134="xx",$O$41:$O$134,""))+SUM(IF(U41:U134="yy",$O$41:$O$134,""))+SUM(IF(U41:U134="zz",$O$41:$O$134,""))</f>
        <v>0</v>
      </c>
      <c r="V144" s="54">
        <f t="array" ref="V144">SUM(IF(V41:V134="aa",$O$41:$O$134,""))+SUM(IF(V41:V134="bb",$O$41:$O$134,""))+SUM(IF(V41:V134="cc",$O$41:$O$134,""))+SUM(IF(V41:V134="dd",$O$41:$O$134,""))+SUM(IF(V41:V134="ee",$O$41:$O$134,""))+SUM(IF(V41:V134="ff",$O$41:$O$134,""))+SUM(IF(V41:V134="gg",$O$41:$O$134,""))+SUM(IF(V41:V134="hh",$O$41:$O$134,""))+SUM(IF(V41:V134="ii",$O$41:$O$134,""))+SUM(IF(V41:V134="jj",$O$41:$O$134,""))+SUM(IF(V41:V134="kk",$O$41:$O$134,""))+SUM(IF(V41:V134="ll",$O$41:$O$134,""))+SUM(IF(V41:V134="mm",$O$41:$O$134,""))+SUM(IF(V41:V134="nn",$O$41:$O$134,""))+SUM(IF(V41:V134="oo",$O$41:$O$134,""))+SUM(IF(V41:V134="pp",$O$41:$O$134,""))+SUM(IF(V41:V134="qq",$O$41:$O$134,""))+SUM(IF(V41:V134="rr",$O$41:$O$134,""))+SUM(IF(V41:V134="ss",$O$41:$O$134,""))+SUM(IF(V41:V134="tt",$O$41:$O$134,""))+SUM(IF(V41:V134="uu",$O$41:$O$134,""))+SUM(IF(V41:V134="vv",$O$41:$O$134,""))+SUM(IF(V41:V134="ww",$O$41:$O$134,""))+SUM(IF(V41:V134="xx",$O$41:$O$134,""))+SUM(IF(V41:V134="yy",$O$41:$O$134,""))+SUM(IF(V41:V134="zz",$O$41:$O$134,""))</f>
        <v>0</v>
      </c>
      <c r="W144" s="54">
        <f t="array" ref="W144">SUM(IF(W41:W134="aa",$O$41:$O$134,""))+SUM(IF(W41:W134="bb",$O$41:$O$134,""))+SUM(IF(W41:W134="cc",$O$41:$O$134,""))+SUM(IF(W41:W134="dd",$O$41:$O$134,""))+SUM(IF(W41:W134="ee",$O$41:$O$134,""))+SUM(IF(W41:W134="ff",$O$41:$O$134,""))+SUM(IF(W41:W134="gg",$O$41:$O$134,""))+SUM(IF(W41:W134="hh",$O$41:$O$134,""))+SUM(IF(W41:W134="ii",$O$41:$O$134,""))+SUM(IF(W41:W134="jj",$O$41:$O$134,""))+SUM(IF(W41:W134="kk",$O$41:$O$134,""))+SUM(IF(W41:W134="ll",$O$41:$O$134,""))+SUM(IF(W41:W134="mm",$O$41:$O$134,""))+SUM(IF(W41:W134="nn",$O$41:$O$134,""))+SUM(IF(W41:W134="oo",$O$41:$O$134,""))+SUM(IF(W41:W134="pp",$O$41:$O$134,""))+SUM(IF(W41:W134="qq",$O$41:$O$134,""))+SUM(IF(W41:W134="rr",$O$41:$O$134,""))+SUM(IF(W41:W134="ss",$O$41:$O$134,""))+SUM(IF(W41:W134="tt",$O$41:$O$134,""))+SUM(IF(W41:W134="uu",$O$41:$O$134,""))+SUM(IF(W41:W134="vv",$O$41:$O$134,""))+SUM(IF(W41:W134="ww",$O$41:$O$134,""))+SUM(IF(W41:W134="xx",$O$41:$O$134,""))+SUM(IF(W41:W134="yy",$O$41:$O$134,""))+SUM(IF(W41:W134="zz",$O$41:$O$134,""))</f>
        <v>0</v>
      </c>
      <c r="X144" t="s">
        <v>257</v>
      </c>
      <c r="Y144" s="95"/>
      <c r="Z144" s="95"/>
    </row>
    <row r="145" spans="19:26" ht="20.25" hidden="1" customHeight="1" x14ac:dyDescent="0.15">
      <c r="S145" s="54">
        <f t="array" ref="S145">SUM(IF(S41:S134="aaa",$O$41:$O$134,""))+SUM(IF(S41:S134="bbb",$O$41:$O$134,""))+SUM(IF(S41:S134="ccc",$O$41:$O$134,""))+SUM(IF(S41:S134="ddd",$O$41:$O$134,""))+SUM(IF(S41:S134="eee",$O$41:$O$134,""))+SUM(IF(S41:S134="fff",$O$41:$O$134,""))+SUM(IF(S41:S134="ggg",$O$41:$O$134,""))+SUM(IF(S41:S134="hhh",$O$41:$O$134,""))+SUM(IF(S41:S134="iii",$O$41:$O$134,""))+SUM(IF(S41:S134="jjj",$O$41:$O$134,""))+SUM(IF(S41:S134="kkk",$O$41:$O$134,""))+SUM(IF(S41:S134="lll",$O$41:$O$134,""))+SUM(IF(S41:S134="mmm",$O$41:$O$134,""))+SUM(IF(S41:S134="nnn",$O$41:$O$134,""))+SUM(IF(S41:S134="ooo",$O$41:$O$134,""))+SUM(IF(S41:S134="ppp",$O$41:$O$134,""))+SUM(IF(S41:S134="qqq",$O$41:$O$134,""))+SUM(IF(S41:S134="rrr",$O$41:$O$134,""))+SUM(IF(S41:S134="sss",$O$41:$O$134,""))+SUM(IF(S41:S134="ttt",$O$41:$O$134,""))+SUM(IF(S41:S134="uuu",$O$41:$O$134,""))+SUM(IF(S41:S134="vvv",$O$41:$O$134,""))+SUM(IF(S41:S134="www",$O$41:$O$134,""))+SUM(IF(S41:S134="xxx",$O$41:$O$134,""))+SUM(IF(S41:S134="yyy",$O$41:$O$134,""))+SUM(IF(S41:S134="zzz",$O$41:$O$134,""))</f>
        <v>0</v>
      </c>
      <c r="T145" s="54">
        <f t="array" ref="T145">SUM(IF(T41:T134="aaa",$O$41:$O$134,""))+SUM(IF(T41:T134="bbb",$O$41:$O$134,""))+SUM(IF(T41:T134="ccc",$O$41:$O$134,""))+SUM(IF(T41:T134="ddd",$O$41:$O$134,""))+SUM(IF(T41:T134="eee",$O$41:$O$134,""))+SUM(IF(T41:T134="fff",$O$41:$O$134,""))+SUM(IF(T41:T134="ggg",$O$41:$O$134,""))+SUM(IF(T41:T134="hhh",$O$41:$O$134,""))+SUM(IF(T41:T134="iii",$O$41:$O$134,""))+SUM(IF(T41:T134="jjj",$O$41:$O$134,""))+SUM(IF(T41:T134="kkk",$O$41:$O$134,""))+SUM(IF(T41:T134="lll",$O$41:$O$134,""))+SUM(IF(T41:T134="mmm",$O$41:$O$134,""))+SUM(IF(T41:T134="nnn",$O$41:$O$134,""))+SUM(IF(T41:T134="ooo",$O$41:$O$134,""))+SUM(IF(T41:T134="ppp",$O$41:$O$134,""))+SUM(IF(T41:T134="qqq",$O$41:$O$134,""))+SUM(IF(T41:T134="rrr",$O$41:$O$134,""))+SUM(IF(T41:T134="sss",$O$41:$O$134,""))+SUM(IF(T41:T134="ttt",$O$41:$O$134,""))+SUM(IF(T41:T134="uuu",$O$41:$O$134,""))+SUM(IF(T41:T134="vvv",$O$41:$O$134,""))+SUM(IF(T41:T134="www",$O$41:$O$134,""))+SUM(IF(T41:T134="xxx",$O$41:$O$134,""))+SUM(IF(T41:T134="yyy",$O$41:$O$134,""))+SUM(IF(T41:T134="zzz",$O$41:$O$134,""))</f>
        <v>0</v>
      </c>
      <c r="U145" s="54">
        <f t="array" ref="U145">SUM(IF(U41:U134="aaa",$O$41:$O$134,""))+SUM(IF(U41:U134="bbb",$O$41:$O$134,""))+SUM(IF(U41:U134="ccc",$O$41:$O$134,""))+SUM(IF(U41:U134="ddd",$O$41:$O$134,""))+SUM(IF(U41:U134="eee",$O$41:$O$134,""))+SUM(IF(U41:U134="fff",$O$41:$O$134,""))+SUM(IF(U41:U134="ggg",$O$41:$O$134,""))+SUM(IF(U41:U134="hhh",$O$41:$O$134,""))+SUM(IF(U41:U134="iii",$O$41:$O$134,""))+SUM(IF(U41:U134="jjj",$O$41:$O$134,""))+SUM(IF(U41:U134="kkk",$O$41:$O$134,""))+SUM(IF(U41:U134="lll",$O$41:$O$134,""))+SUM(IF(U41:U134="mmm",$O$41:$O$134,""))+SUM(IF(U41:U134="nnn",$O$41:$O$134,""))+SUM(IF(U41:U134="ooo",$O$41:$O$134,""))+SUM(IF(U41:U134="ppp",$O$41:$O$134,""))+SUM(IF(U41:U134="qqq",$O$41:$O$134,""))+SUM(IF(U41:U134="rrr",$O$41:$O$134,""))+SUM(IF(U41:U134="sss",$O$41:$O$134,""))+SUM(IF(U41:U134="ttt",$O$41:$O$134,""))+SUM(IF(U41:U134="uuu",$O$41:$O$134,""))+SUM(IF(U41:U134="vvv",$O$41:$O$134,""))+SUM(IF(U41:U134="www",$O$41:$O$134,""))+SUM(IF(U41:U134="xxx",$O$41:$O$134,""))+SUM(IF(U41:U134="yyy",$O$41:$O$134,""))+SUM(IF(U41:U134="zzz",$O$41:$O$134,""))</f>
        <v>0</v>
      </c>
      <c r="V145" s="54">
        <f t="array" ref="V145">SUM(IF(V41:V134="aaa",$O$41:$O$134,""))+SUM(IF(V41:V134="bbb",$O$41:$O$134,""))+SUM(IF(V41:V134="ccc",$O$41:$O$134,""))+SUM(IF(V41:V134="ddd",$O$41:$O$134,""))+SUM(IF(V41:V134="eee",$O$41:$O$134,""))+SUM(IF(V41:V134="fff",$O$41:$O$134,""))+SUM(IF(V41:V134="ggg",$O$41:$O$134,""))+SUM(IF(V41:V134="hhh",$O$41:$O$134,""))+SUM(IF(V41:V134="iii",$O$41:$O$134,""))+SUM(IF(V41:V134="jjj",$O$41:$O$134,""))+SUM(IF(V41:V134="kkk",$O$41:$O$134,""))+SUM(IF(V41:V134="lll",$O$41:$O$134,""))+SUM(IF(V41:V134="mmm",$O$41:$O$134,""))+SUM(IF(V41:V134="nnn",$O$41:$O$134,""))+SUM(IF(V41:V134="ooo",$O$41:$O$134,""))+SUM(IF(V41:V134="ppp",$O$41:$O$134,""))+SUM(IF(V41:V134="qqq",$O$41:$O$134,""))+SUM(IF(V41:V134="rrr",$O$41:$O$134,""))+SUM(IF(V41:V134="sss",$O$41:$O$134,""))+SUM(IF(V41:V134="ttt",$O$41:$O$134,""))+SUM(IF(V41:V134="uuu",$O$41:$O$134,""))+SUM(IF(V41:V134="vvv",$O$41:$O$134,""))+SUM(IF(V41:V134="www",$O$41:$O$134,""))+SUM(IF(V41:V134="xxx",$O$41:$O$134,""))+SUM(IF(V41:V134="yyy",$O$41:$O$134,""))+SUM(IF(V41:V134="zzz",$O$41:$O$134,""))</f>
        <v>0</v>
      </c>
      <c r="W145" s="54">
        <f t="array" ref="W145">SUM(IF(W41:W134="aaa",$O$41:$O$134,""))+SUM(IF(W41:W134="bbb",$O$41:$O$134,""))+SUM(IF(W41:W134="ccc",$O$41:$O$134,""))+SUM(IF(W41:W134="ddd",$O$41:$O$134,""))+SUM(IF(W41:W134="eee",$O$41:$O$134,""))+SUM(IF(W41:W134="fff",$O$41:$O$134,""))+SUM(IF(W41:W134="ggg",$O$41:$O$134,""))+SUM(IF(W41:W134="hhh",$O$41:$O$134,""))+SUM(IF(W41:W134="iii",$O$41:$O$134,""))+SUM(IF(W41:W134="jjj",$O$41:$O$134,""))+SUM(IF(W41:W134="kkk",$O$41:$O$134,""))+SUM(IF(W41:W134="lll",$O$41:$O$134,""))+SUM(IF(W41:W134="mmm",$O$41:$O$134,""))+SUM(IF(W41:W134="nnn",$O$41:$O$134,""))+SUM(IF(W41:W134="ooo",$O$41:$O$134,""))+SUM(IF(W41:W134="ppp",$O$41:$O$134,""))+SUM(IF(W41:W134="qqq",$O$41:$O$134,""))+SUM(IF(W41:W134="rrr",$O$41:$O$134,""))+SUM(IF(W41:W134="sss",$O$41:$O$134,""))+SUM(IF(W41:W134="ttt",$O$41:$O$134,""))+SUM(IF(W41:W134="uuu",$O$41:$O$134,""))+SUM(IF(W41:W134="vvv",$O$41:$O$134,""))+SUM(IF(W41:W134="www",$O$41:$O$134,""))+SUM(IF(W41:W134="xxx",$O$41:$O$134,""))+SUM(IF(W41:W134="yyy",$O$41:$O$134,""))+SUM(IF(W41:W134="zzz",$O$41:$O$134,""))</f>
        <v>0</v>
      </c>
      <c r="X145" t="s">
        <v>258</v>
      </c>
      <c r="Y145" s="95"/>
      <c r="Z145" s="95"/>
    </row>
    <row r="146" spans="19:26" ht="20.25" hidden="1" customHeight="1" x14ac:dyDescent="0.15">
      <c r="S146" s="54">
        <f t="array" ref="S146">SUM(IF(S41:S134="aaaa",$O$41:$O$134,""))+SUM(IF(S41:S134="bbbb",$O$41:$O$134,""))+SUM(IF(S41:S134="cccc",$O$41:$O$134,""))+SUM(IF(S41:S134="dddd",$O$41:$O$134,""))+SUM(IF(S41:S134="eeee",$O$41:$O$134,""))+SUM(IF(S41:S134="ffff",$O$41:$O$134,""))+SUM(IF(S41:S134="gggg",$O$41:$O$134,""))+SUM(IF(S41:S134="hhhh",$O$41:$O$134,""))+SUM(IF(S41:S134="iiii",$O$41:$O$134,""))+SUM(IF(S41:S134="jjjj",$O$41:$O$134,""))+SUM(IF(S41:S134="kkkk",$O$41:$O$134,""))+SUM(IF(S41:S134="llll",$O$41:$O$134,""))+SUM(IF(S41:S134="mmmm",$O$41:$O$134,""))+SUM(IF(S41:S134="nnnn",$O$41:$O$134,""))+SUM(IF(S41:S134="oooo",$O$41:$O$134,""))+SUM(IF(S41:S134="pppp",$O$41:$O$134,""))</f>
        <v>0</v>
      </c>
      <c r="T146" s="54">
        <f t="array" ref="T146">SUM(IF(T41:T134="aaaa",$O$41:$O$134,""))+SUM(IF(T41:T134="bbbb",$O$41:$O$134,""))+SUM(IF(T41:T134="cccc",$O$41:$O$134,""))+SUM(IF(T41:T134="dddd",$O$41:$O$134,""))+SUM(IF(T41:T134="eeee",$O$41:$O$134,""))+SUM(IF(T41:T134="ffff",$O$41:$O$134,""))+SUM(IF(T41:T134="gggg",$O$41:$O$134,""))+SUM(IF(T41:T134="hhhh",$O$41:$O$134,""))+SUM(IF(T41:T134="iiii",$O$41:$O$134,""))+SUM(IF(T41:T134="jjjj",$O$41:$O$134,""))+SUM(IF(T41:T134="kkkk",$O$41:$O$134,""))+SUM(IF(T41:T134="llll",$O$41:$O$134,""))+SUM(IF(T41:T134="mmmm",$O$41:$O$134,""))+SUM(IF(T41:T134="nnnn",$O$41:$O$134,""))+SUM(IF(T41:T134="oooo",$O$41:$O$134,""))+SUM(IF(T41:T134="pppp",$O$41:$O$134,""))</f>
        <v>0</v>
      </c>
      <c r="U146" s="54">
        <f t="array" ref="U146">SUM(IF(U41:U134="aaaa",$O$41:$O$134,""))+SUM(IF(U41:U134="bbbb",$O$41:$O$134,""))+SUM(IF(U41:U134="cccc",$O$41:$O$134,""))+SUM(IF(U41:U134="dddd",$O$41:$O$134,""))+SUM(IF(U41:U134="eeee",$O$41:$O$134,""))+SUM(IF(U41:U134="ffff",$O$41:$O$134,""))+SUM(IF(U41:U134="gggg",$O$41:$O$134,""))+SUM(IF(U41:U134="hhhh",$O$41:$O$134,""))+SUM(IF(U41:U134="iiii",$O$41:$O$134,""))+SUM(IF(U41:U134="jjjj",$O$41:$O$134,""))+SUM(IF(U41:U134="kkkk",$O$41:$O$134,""))+SUM(IF(U41:U134="llll",$O$41:$O$134,""))+SUM(IF(U41:U134="mmmm",$O$41:$O$134,""))+SUM(IF(U41:U134="nnnn",$O$41:$O$134,""))+SUM(IF(U41:U134="oooo",$O$41:$O$134,""))+SUM(IF(U41:U134="pppp",$O$41:$O$134,""))</f>
        <v>0</v>
      </c>
      <c r="V146" s="54">
        <f t="array" ref="V146">SUM(IF(V41:V134="aaaa",$O$41:$O$134,""))+SUM(IF(V41:V134="bbbb",$O$41:$O$134,""))+SUM(IF(V41:V134="cccc",$O$41:$O$134,""))+SUM(IF(V41:V134="dddd",$O$41:$O$134,""))+SUM(IF(V41:V134="eeee",$O$41:$O$134,""))+SUM(IF(V41:V134="ffff",$O$41:$O$134,""))+SUM(IF(V41:V134="gggg",$O$41:$O$134,""))+SUM(IF(V41:V134="hhhh",$O$41:$O$134,""))+SUM(IF(V41:V134="iiii",$O$41:$O$134,""))+SUM(IF(V41:V134="jjjj",$O$41:$O$134,""))+SUM(IF(V41:V134="kkkk",$O$41:$O$134,""))+SUM(IF(V41:V134="llll",$O$41:$O$134,""))+SUM(IF(V41:V134="mmmm",$O$41:$O$134,""))+SUM(IF(V41:V134="nnnn",$O$41:$O$134,""))+SUM(IF(V41:V134="oooo",$O$41:$O$134,""))+SUM(IF(V41:V134="pppp",$O$41:$O$134,""))</f>
        <v>0</v>
      </c>
      <c r="W146" s="54">
        <f t="array" ref="W146">SUM(IF(W41:W134="aaaa",$O$41:$O$134,""))+SUM(IF(W41:W134="bbbb",$O$41:$O$134,""))+SUM(IF(W41:W134="cccc",$O$41:$O$134,""))+SUM(IF(W41:W134="dddd",$O$41:$O$134,""))+SUM(IF(W41:W134="eeee",$O$41:$O$134,""))+SUM(IF(W41:W134="ffff",$O$41:$O$134,""))+SUM(IF(W41:W134="gggg",$O$41:$O$134,""))+SUM(IF(W41:W134="hhhh",$O$41:$O$134,""))+SUM(IF(W41:W134="iiii",$O$41:$O$134,""))+SUM(IF(W41:W134="jjjj",$O$41:$O$134,""))+SUM(IF(W41:W134="kkkk",$O$41:$O$134,""))+SUM(IF(W41:W134="llll",$O$41:$O$134,""))+SUM(IF(W41:W134="mmmm",$O$41:$O$134,""))+SUM(IF(W41:W134="nnnn",$O$41:$O$134,""))+SUM(IF(W41:W134="oooo",$O$41:$O$134,""))+SUM(IF(W41:W134="pppp",$O$41:$O$134,""))</f>
        <v>0</v>
      </c>
      <c r="X146" t="s">
        <v>810</v>
      </c>
      <c r="Y146" s="95"/>
      <c r="Z146" s="95"/>
    </row>
    <row r="147" spans="19:26" ht="20.25" hidden="1" customHeight="1" x14ac:dyDescent="0.15">
      <c r="S147" s="111">
        <f>SUM(S143:S146)</f>
        <v>0</v>
      </c>
      <c r="T147" s="111">
        <f>SUM(T143:T146)</f>
        <v>0</v>
      </c>
      <c r="U147" s="111">
        <f>SUM(U143:U146)</f>
        <v>0</v>
      </c>
      <c r="V147" s="111">
        <f>SUM(V143:V146)</f>
        <v>0</v>
      </c>
      <c r="W147" s="111">
        <f>SUM(W143:W146)</f>
        <v>0</v>
      </c>
      <c r="X147" s="2" t="s">
        <v>259</v>
      </c>
      <c r="Y147" s="29"/>
      <c r="Z147" s="29"/>
    </row>
    <row r="148" spans="19:26" ht="20.25" hidden="1" customHeight="1" x14ac:dyDescent="0.15">
      <c r="Y148" s="29"/>
      <c r="Z148" s="29"/>
    </row>
    <row r="149" spans="19:26" ht="20.25" hidden="1" customHeight="1" x14ac:dyDescent="0.15">
      <c r="S149" s="54">
        <f t="array" ref="S149">SUM(IF(S41:S134="a",$P$41:$P$134,""))+SUM(IF(S41:S134="b",$P$41:$P$134,""))+SUM(IF(S41:S134="c",$P$41:$P$134,""))+SUM(IF(S41:S134="d",$P$41:$P$134,""))+SUM(IF(S41:S134="e",$P$41:$P$134,""))+SUM(IF(S41:S134="f",$P$41:$P$134,""))+SUM(IF(S41:S134="g",$P$41:$P$134,""))+SUM(IF(S41:S134="h",$P$41:$P$134,""))+SUM(IF(S41:S134="i",$P$41:$P$134,""))+SUM(IF(S41:S134="j",$P$41:$P$134,""))+SUM(IF(S41:S134="k",$P$41:$P$134,""))+SUM(IF(S41:S134="l",$P$41:$P$134,""))+SUM(IF(S41:S134="m",$P$41:$P$134,""))+SUM(IF(S41:S134="n",$P$41:$P$134,""))+SUM(IF(S41:S134="o",$P$41:$P$134,""))+SUM(IF(S41:S134="p",$P$41:$P$134,""))+SUM(IF(S41:S134="q",$P$41:$P$134,""))+SUM(IF(S41:S134="r",$P$41:$P$134,""))+SUM(IF(S41:S134="s",$P$41:$P$134,""))+SUM(IF(S41:S134="t",$P$41:$P$134,""))+SUM(IF(S41:S134="u",$P$41:$P$134,""))+SUM(IF(S41:S134="v",$P$41:$P$134,""))+SUM(IF(S41:S134="w",$P$41:$P$134,""))+SUM(IF(S41:S134="x",$P$41:$P$134,""))+SUM(IF(S41:S134="y",$P$41:$P$134,""))+SUM(IF(S41:S134="z",$P$41:$P$134,""))</f>
        <v>0</v>
      </c>
      <c r="T149" s="54">
        <f t="array" ref="T149">SUM(IF(T41:T134="a",$P$41:$P$134,""))+SUM(IF(T41:T134="b",$P$41:$P$134,""))+SUM(IF(T41:T134="c",$P$41:$P$134,""))+SUM(IF(T41:T134="d",$P$41:$P$134,""))+SUM(IF(T41:T134="e",$P$41:$P$134,""))+SUM(IF(T41:T134="f",$P$41:$P$134,""))+SUM(IF(T41:T134="g",$P$41:$P$134,""))+SUM(IF(T41:T134="h",$P$41:$P$134,""))+SUM(IF(T41:T134="i",$P$41:$P$134,""))+SUM(IF(T41:T134="j",$P$41:$P$134,""))+SUM(IF(T41:T134="k",$P$41:$P$134,""))+SUM(IF(T41:T134="l",$P$41:$P$134,""))+SUM(IF(T41:T134="m",$P$41:$P$134,""))+SUM(IF(T41:T134="n",$P$41:$P$134,""))+SUM(IF(T41:T134="o",$P$41:$P$134,""))+SUM(IF(T41:T134="p",$P$41:$P$134,""))+SUM(IF(T41:T134="q",$P$41:$P$134,""))+SUM(IF(T41:T134="r",$P$41:$P$134,""))+SUM(IF(T41:T134="s",$P$41:$P$134,""))+SUM(IF(T41:T134="t",$P$41:$P$134,""))+SUM(IF(T41:T134="u",$P$41:$P$134,""))+SUM(IF(T41:T134="v",$P$41:$P$134,""))+SUM(IF(T41:T134="w",$P$41:$P$134,""))+SUM(IF(T41:T134="x",$P$41:$P$134,""))+SUM(IF(T41:T134="y",$P$41:$P$134,""))+SUM(IF(T41:T134="z",$P$41:$P$134,""))</f>
        <v>0</v>
      </c>
      <c r="U149" s="54">
        <f t="array" ref="U149">SUM(IF(U41:U134="a",$P$41:$P$134,""))+SUM(IF(U41:U134="b",$P$41:$P$134,""))+SUM(IF(U41:U134="c",$P$41:$P$134,""))+SUM(IF(U41:U134="d",$P$41:$P$134,""))+SUM(IF(U41:U134="e",$P$41:$P$134,""))+SUM(IF(U41:U134="f",$P$41:$P$134,""))+SUM(IF(U41:U134="g",$P$41:$P$134,""))+SUM(IF(U41:U134="h",$P$41:$P$134,""))+SUM(IF(U41:U134="i",$P$41:$P$134,""))+SUM(IF(U41:U134="j",$P$41:$P$134,""))+SUM(IF(U41:U134="k",$P$41:$P$134,""))+SUM(IF(U41:U134="l",$P$41:$P$134,""))+SUM(IF(U41:U134="m",$P$41:$P$134,""))+SUM(IF(U41:U134="n",$P$41:$P$134,""))+SUM(IF(U41:U134="o",$P$41:$P$134,""))+SUM(IF(U41:U134="p",$P$41:$P$134,""))+SUM(IF(U41:U134="q",$P$41:$P$134,""))+SUM(IF(U41:U134="r",$P$41:$P$134,""))+SUM(IF(U41:U134="s",$P$41:$P$134,""))+SUM(IF(U41:U134="t",$P$41:$P$134,""))+SUM(IF(U41:U134="u",$P$41:$P$134,""))+SUM(IF(U41:U134="v",$P$41:$P$134,""))+SUM(IF(U41:U134="w",$P$41:$P$134,""))+SUM(IF(U41:U134="x",$P$41:$P$134,""))+SUM(IF(U41:U134="y",$P$41:$P$134,""))+SUM(IF(U41:U134="z",$P$41:$P$134,""))</f>
        <v>0</v>
      </c>
      <c r="V149" s="54">
        <f t="array" ref="V149">SUM(IF(V41:V134="a",$P$41:$P$134,""))+SUM(IF(V41:V134="b",$P$41:$P$134,""))+SUM(IF(V41:V134="c",$P$41:$P$134,""))+SUM(IF(V41:V134="d",$P$41:$P$134,""))+SUM(IF(V41:V134="e",$P$41:$P$134,""))+SUM(IF(V41:V134="f",$P$41:$P$134,""))+SUM(IF(V41:V134="g",$P$41:$P$134,""))+SUM(IF(V41:V134="h",$P$41:$P$134,""))+SUM(IF(V41:V134="i",$P$41:$P$134,""))+SUM(IF(V41:V134="j",$P$41:$P$134,""))+SUM(IF(V41:V134="k",$P$41:$P$134,""))+SUM(IF(V41:V134="l",$P$41:$P$134,""))+SUM(IF(V41:V134="m",$P$41:$P$134,""))+SUM(IF(V41:V134="n",$P$41:$P$134,""))+SUM(IF(V41:V134="o",$P$41:$P$134,""))+SUM(IF(V41:V134="p",$P$41:$P$134,""))+SUM(IF(V41:V134="q",$P$41:$P$134,""))+SUM(IF(V41:V134="r",$P$41:$P$134,""))+SUM(IF(V41:V134="s",$P$41:$P$134,""))+SUM(IF(V41:V134="t",$P$41:$P$134,""))+SUM(IF(V41:V134="u",$P$41:$P$134,""))+SUM(IF(V41:V134="v",$P$41:$P$134,""))+SUM(IF(V41:V134="w",$P$41:$P$134,""))+SUM(IF(V41:V134="x",$P$41:$P$134,""))+SUM(IF(V41:V134="y",$P$41:$P$134,""))+SUM(IF(V41:V134="z",$P$41:$P$134,""))</f>
        <v>0</v>
      </c>
      <c r="W149" s="54">
        <f t="array" ref="W149">SUM(IF(W41:W134="a",$P$41:$P$134,""))+SUM(IF(W41:W134="b",$P$41:$P$134,""))+SUM(IF(W41:W134="c",$P$41:$P$134,""))+SUM(IF(W41:W134="d",$P$41:$P$134,""))+SUM(IF(W41:W134="e",$P$41:$P$134,""))+SUM(IF(W41:W134="f",$P$41:$P$134,""))+SUM(IF(W41:W134="g",$P$41:$P$134,""))+SUM(IF(W41:W134="h",$P$41:$P$134,""))+SUM(IF(W41:W134="i",$P$41:$P$134,""))+SUM(IF(W41:W134="j",$P$41:$P$134,""))+SUM(IF(W41:W134="k",$P$41:$P$134,""))+SUM(IF(W41:W134="l",$P$41:$P$134,""))+SUM(IF(W41:W134="m",$P$41:$P$134,""))+SUM(IF(W41:W134="n",$P$41:$P$134,""))+SUM(IF(W41:W134="o",$P$41:$P$134,""))+SUM(IF(W41:W134="p",$P$41:$P$134,""))+SUM(IF(W41:W134="q",$P$41:$P$134,""))+SUM(IF(W41:W134="r",$P$41:$P$134,""))+SUM(IF(W41:W134="s",$P$41:$P$134,""))+SUM(IF(W41:W134="t",$P$41:$P$134,""))+SUM(IF(W41:W134="u",$P$41:$P$134,""))+SUM(IF(W41:W134="v",$P$41:$P$134,""))+SUM(IF(W41:W134="w",$P$41:$P$134,""))+SUM(IF(W41:W134="x",$P$41:$P$134,""))+SUM(IF(W41:W134="y",$P$41:$P$134,""))+SUM(IF(W41:W134="z",$P$41:$P$134,""))</f>
        <v>0</v>
      </c>
      <c r="X149" t="s">
        <v>256</v>
      </c>
      <c r="Y149" s="95"/>
      <c r="Z149" s="95"/>
    </row>
    <row r="150" spans="19:26" ht="20.25" hidden="1" customHeight="1" x14ac:dyDescent="0.15">
      <c r="S150" s="54">
        <f t="array" ref="S150">SUM(IF(S41:S134="aa",$P$41:$P$134,""))+SUM(IF(S41:S134="bb",$P$41:$P$134,""))+SUM(IF(S41:S134="cc",$P$41:$P$134,""))+SUM(IF(S41:S134="dd",$P$41:$P$134,""))+SUM(IF(S41:S134="ee",$P$41:$P$134,""))+SUM(IF(S41:S134="ff",$P$41:$P$134,""))+SUM(IF(S41:S134="gg",$P$41:$P$134,""))+SUM(IF(S41:S134="hh",$P$41:$P$134,""))+SUM(IF(S41:S134="ii",$P$41:$P$134,""))+SUM(IF(S41:S134="jj",$P$41:$P$134,""))+SUM(IF(S41:S134="kk",$P$41:$P$134,""))+SUM(IF(S41:S134="ll",$P$41:$P$134,""))+SUM(IF(S41:S134="mm",$P$41:$P$134,""))+SUM(IF(S41:S134="nn",$P$41:$P$134,""))+SUM(IF(S41:S134="oo",$P$41:$P$134,""))+SUM(IF(S41:S134="pp",$P$41:$P$134,""))+SUM(IF(S41:S134="qq",$P$41:$P$134,""))+SUM(IF(S41:S134="rr",$P$41:$P$134,""))+SUM(IF(S41:S134="ss",$P$41:$P$134,""))+SUM(IF(S41:S134="tt",$P$41:$P$134,""))+SUM(IF(S41:S134="uu",$P$41:$P$134,""))+SUM(IF(S41:S134="vv",$P$41:$P$134,""))+SUM(IF(S41:S134="ww",$P$41:$P$134,""))+SUM(IF(S41:S134="xx",$P$41:$P$134,""))+SUM(IF(S41:S134="yy",$P$41:$P$134,""))+SUM(IF(S41:S134="zz",$P$41:$P$134,""))</f>
        <v>0</v>
      </c>
      <c r="T150" s="54">
        <f t="array" ref="T150">SUM(IF(T41:T134="aa",$P$41:$P$134,""))+SUM(IF(T41:T134="bb",$P$41:$P$134,""))+SUM(IF(T41:T134="cc",$P$41:$P$134,""))+SUM(IF(T41:T134="dd",$P$41:$P$134,""))+SUM(IF(T41:T134="ee",$P$41:$P$134,""))+SUM(IF(T41:T134="ff",$P$41:$P$134,""))+SUM(IF(T41:T134="gg",$P$41:$P$134,""))+SUM(IF(T41:T134="hh",$P$41:$P$134,""))+SUM(IF(T41:T134="ii",$P$41:$P$134,""))+SUM(IF(T41:T134="jj",$P$41:$P$134,""))+SUM(IF(T41:T134="kk",$P$41:$P$134,""))+SUM(IF(T41:T134="ll",$P$41:$P$134,""))+SUM(IF(T41:T134="mm",$P$41:$P$134,""))+SUM(IF(T41:T134="nn",$P$41:$P$134,""))+SUM(IF(T41:T134="oo",$P$41:$P$134,""))+SUM(IF(T41:T134="pp",$P$41:$P$134,""))+SUM(IF(T41:T134="qq",$P$41:$P$134,""))+SUM(IF(T41:T134="rr",$P$41:$P$134,""))+SUM(IF(T41:T134="ss",$P$41:$P$134,""))+SUM(IF(T41:T134="tt",$P$41:$P$134,""))+SUM(IF(T41:T134="uu",$P$41:$P$134,""))+SUM(IF(T41:T134="vv",$P$41:$P$134,""))+SUM(IF(T41:T134="ww",$P$41:$P$134,""))+SUM(IF(T41:T134="xx",$P$41:$P$134,""))+SUM(IF(T41:T134="yy",$P$41:$P$134,""))+SUM(IF(T41:T134="zz",$P$41:$P$134,""))</f>
        <v>0</v>
      </c>
      <c r="U150" s="54">
        <f t="array" ref="U150">SUM(IF(U41:U134="aa",$P$41:$P$134,""))+SUM(IF(U41:U134="bb",$P$41:$P$134,""))+SUM(IF(U41:U134="cc",$P$41:$P$134,""))+SUM(IF(U41:U134="dd",$P$41:$P$134,""))+SUM(IF(U41:U134="ee",$P$41:$P$134,""))+SUM(IF(U41:U134="ff",$P$41:$P$134,""))+SUM(IF(U41:U134="gg",$P$41:$P$134,""))+SUM(IF(U41:U134="hh",$P$41:$P$134,""))+SUM(IF(U41:U134="ii",$P$41:$P$134,""))+SUM(IF(U41:U134="jj",$P$41:$P$134,""))+SUM(IF(U41:U134="kk",$P$41:$P$134,""))+SUM(IF(U41:U134="ll",$P$41:$P$134,""))+SUM(IF(U41:U134="mm",$P$41:$P$134,""))+SUM(IF(U41:U134="nn",$P$41:$P$134,""))+SUM(IF(U41:U134="oo",$P$41:$P$134,""))+SUM(IF(U41:U134="pp",$P$41:$P$134,""))+SUM(IF(U41:U134="qq",$P$41:$P$134,""))+SUM(IF(U41:U134="rr",$P$41:$P$134,""))+SUM(IF(U41:U134="ss",$P$41:$P$134,""))+SUM(IF(U41:U134="tt",$P$41:$P$134,""))+SUM(IF(U41:U134="uu",$P$41:$P$134,""))+SUM(IF(U41:U134="vv",$P$41:$P$134,""))+SUM(IF(U41:U134="ww",$P$41:$P$134,""))+SUM(IF(U41:U134="xx",$P$41:$P$134,""))+SUM(IF(U41:U134="yy",$P$41:$P$134,""))+SUM(IF(U41:U134="zz",$P$41:$P$134,""))</f>
        <v>0</v>
      </c>
      <c r="V150" s="54">
        <f t="array" ref="V150">SUM(IF(V41:V134="aa",$P$41:$P$134,""))+SUM(IF(V41:V134="bb",$P$41:$P$134,""))+SUM(IF(V41:V134="cc",$P$41:$P$134,""))+SUM(IF(V41:V134="dd",$P$41:$P$134,""))+SUM(IF(V41:V134="ee",$P$41:$P$134,""))+SUM(IF(V41:V134="ff",$P$41:$P$134,""))+SUM(IF(V41:V134="gg",$P$41:$P$134,""))+SUM(IF(V41:V134="hh",$P$41:$P$134,""))+SUM(IF(V41:V134="ii",$P$41:$P$134,""))+SUM(IF(V41:V134="jj",$P$41:$P$134,""))+SUM(IF(V41:V134="kk",$P$41:$P$134,""))+SUM(IF(V41:V134="ll",$P$41:$P$134,""))+SUM(IF(V41:V134="mm",$P$41:$P$134,""))+SUM(IF(V41:V134="nn",$P$41:$P$134,""))+SUM(IF(V41:V134="oo",$P$41:$P$134,""))+SUM(IF(V41:V134="pp",$P$41:$P$134,""))+SUM(IF(V41:V134="qq",$P$41:$P$134,""))+SUM(IF(V41:V134="rr",$P$41:$P$134,""))+SUM(IF(V41:V134="ss",$P$41:$P$134,""))+SUM(IF(V41:V134="tt",$P$41:$P$134,""))+SUM(IF(V41:V134="uu",$P$41:$P$134,""))+SUM(IF(V41:V134="vv",$P$41:$P$134,""))+SUM(IF(V41:V134="ww",$P$41:$P$134,""))+SUM(IF(V41:V134="xx",$P$41:$P$134,""))+SUM(IF(V41:V134="yy",$P$41:$P$134,""))+SUM(IF(V41:V134="zz",$P$41:$P$134,""))</f>
        <v>0</v>
      </c>
      <c r="W150" s="54">
        <f t="array" ref="W150">SUM(IF(W41:W134="aa",$P$41:$P$134,""))+SUM(IF(W41:W134="bb",$P$41:$P$134,""))+SUM(IF(W41:W134="cc",$P$41:$P$134,""))+SUM(IF(W41:W134="dd",$P$41:$P$134,""))+SUM(IF(W41:W134="ee",$P$41:$P$134,""))+SUM(IF(W41:W134="ff",$P$41:$P$134,""))+SUM(IF(W41:W134="gg",$P$41:$P$134,""))+SUM(IF(W41:W134="hh",$P$41:$P$134,""))+SUM(IF(W41:W134="ii",$P$41:$P$134,""))+SUM(IF(W41:W134="jj",$P$41:$P$134,""))+SUM(IF(W41:W134="kk",$P$41:$P$134,""))+SUM(IF(W41:W134="ll",$P$41:$P$134,""))+SUM(IF(W41:W134="mm",$P$41:$P$134,""))+SUM(IF(W41:W134="nn",$P$41:$P$134,""))+SUM(IF(W41:W134="oo",$P$41:$P$134,""))+SUM(IF(W41:W134="pp",$P$41:$P$134,""))+SUM(IF(W41:W134="qq",$P$41:$P$134,""))+SUM(IF(W41:W134="rr",$P$41:$P$134,""))+SUM(IF(W41:W134="ss",$P$41:$P$134,""))+SUM(IF(W41:W134="tt",$P$41:$P$134,""))+SUM(IF(W41:W134="uu",$P$41:$P$134,""))+SUM(IF(W41:W134="vv",$P$41:$P$134,""))+SUM(IF(W41:W134="ww",$P$41:$P$134,""))+SUM(IF(W41:W134="xx",$P$41:$P$134,""))+SUM(IF(W41:W134="yy",$P$41:$P$134,""))+SUM(IF(W41:W134="zz",$P$41:$P$134,""))</f>
        <v>0</v>
      </c>
      <c r="X150" t="s">
        <v>257</v>
      </c>
      <c r="Y150" s="95"/>
      <c r="Z150" s="95"/>
    </row>
    <row r="151" spans="19:26" ht="20.25" hidden="1" customHeight="1" x14ac:dyDescent="0.15">
      <c r="S151" s="54">
        <f t="array" ref="S151">SUM(IF(S41:S134="aaa",$P$41:$P$134,""))+SUM(IF(S41:S134="bbb",$P$41:$P$134,""))+SUM(IF(S41:S134="ccc",$P$41:$P$134,""))+SUM(IF(S41:S134="ddd",$P$41:$P$134,""))+SUM(IF(S41:S134="eee",$P$41:$P$134,""))+SUM(IF(S41:S134="fff",$P$41:$P$134,""))+SUM(IF(S41:S134="ggg",$P$41:$P$134,""))+SUM(IF(S41:S134="hhh",$P$41:$P$134,""))+SUM(IF(S41:S134="iii",$P$41:$P$134,""))+SUM(IF(S41:S134="jjj",$P$41:$P$134,""))+SUM(IF(S41:S134="kkk",$P$41:$P$134,""))+SUM(IF(S41:S134="lll",$P$41:$P$134,""))+SUM(IF(S41:S134="mmm",$P$41:$P$134,""))+SUM(IF(S41:S134="nnn",$P$41:$P$134,""))+SUM(IF(S41:S134="ooo",$P$41:$P$134,""))+SUM(IF(S41:S134="ppp",$P$41:$P$134,""))+SUM(IF(S41:S134="qqq",$P$41:$P$134,""))+SUM(IF(S41:S134="rrr",$P$41:$P$134,""))+SUM(IF(S41:S134="sss",$P$41:$P$134,""))+SUM(IF(S41:S134="ttt",$P$41:$P$134,""))+SUM(IF(S41:S134="uuu",$P$41:$P$134,""))+SUM(IF(S41:S134="vvv",$P$41:$P$134,""))+SUM(IF(S41:S134="www",$P$41:$P$134,""))+SUM(IF(S41:S134="xxx",$P$41:$P$134,""))+SUM(IF(S41:S134="yyy",$P$41:$P$134,""))+SUM(IF(S41:S134="zzz",$P$41:$P$134,""))</f>
        <v>0</v>
      </c>
      <c r="T151" s="54">
        <f t="array" ref="T151">SUM(IF(T41:T134="aaa",$P$41:$P$134,""))+SUM(IF(T41:T134="bbb",$P$41:$P$134,""))+SUM(IF(T41:T134="ccc",$P$41:$P$134,""))+SUM(IF(T41:T134="ddd",$P$41:$P$134,""))+SUM(IF(T41:T134="eee",$P$41:$P$134,""))+SUM(IF(T41:T134="fff",$P$41:$P$134,""))+SUM(IF(T41:T134="ggg",$P$41:$P$134,""))+SUM(IF(T41:T134="hhh",$P$41:$P$134,""))+SUM(IF(T41:T134="iii",$P$41:$P$134,""))+SUM(IF(T41:T134="jjj",$P$41:$P$134,""))+SUM(IF(T41:T134="kkk",$P$41:$P$134,""))+SUM(IF(T41:T134="lll",$P$41:$P$134,""))+SUM(IF(T41:T134="mmm",$P$41:$P$134,""))+SUM(IF(T41:T134="nnn",$P$41:$P$134,""))+SUM(IF(T41:T134="ooo",$P$41:$P$134,""))+SUM(IF(T41:T134="ppp",$P$41:$P$134,""))+SUM(IF(T41:T134="qqq",$P$41:$P$134,""))+SUM(IF(T41:T134="rrr",$P$41:$P$134,""))+SUM(IF(T41:T134="sss",$P$41:$P$134,""))+SUM(IF(T41:T134="ttt",$P$41:$P$134,""))+SUM(IF(T41:T134="uuu",$P$41:$P$134,""))+SUM(IF(T41:T134="vvv",$P$41:$P$134,""))+SUM(IF(T41:T134="www",$P$41:$P$134,""))+SUM(IF(T41:T134="xxx",$P$41:$P$134,""))+SUM(IF(T41:T134="yyy",$P$41:$P$134,""))+SUM(IF(T41:T134="zzz",$P$41:$P$134,""))</f>
        <v>0</v>
      </c>
      <c r="U151" s="54">
        <f t="array" ref="U151">SUM(IF(U41:U134="aaa",$P$41:$P$134,""))+SUM(IF(U41:U134="bbb",$P$41:$P$134,""))+SUM(IF(U41:U134="ccc",$P$41:$P$134,""))+SUM(IF(U41:U134="ddd",$P$41:$P$134,""))+SUM(IF(U41:U134="eee",$P$41:$P$134,""))+SUM(IF(U41:U134="fff",$P$41:$P$134,""))+SUM(IF(U41:U134="ggg",$P$41:$P$134,""))+SUM(IF(U41:U134="hhh",$P$41:$P$134,""))+SUM(IF(U41:U134="iii",$P$41:$P$134,""))+SUM(IF(U41:U134="jjj",$P$41:$P$134,""))+SUM(IF(U41:U134="kkk",$P$41:$P$134,""))+SUM(IF(U41:U134="lll",$P$41:$P$134,""))+SUM(IF(U41:U134="mmm",$P$41:$P$134,""))+SUM(IF(U41:U134="nnn",$P$41:$P$134,""))+SUM(IF(U41:U134="ooo",$P$41:$P$134,""))+SUM(IF(U41:U134="ppp",$P$41:$P$134,""))+SUM(IF(U41:U134="qqq",$P$41:$P$134,""))+SUM(IF(U41:U134="rrr",$P$41:$P$134,""))+SUM(IF(U41:U134="sss",$P$41:$P$134,""))+SUM(IF(U41:U134="ttt",$P$41:$P$134,""))+SUM(IF(U41:U134="uuu",$P$41:$P$134,""))+SUM(IF(U41:U134="vvv",$P$41:$P$134,""))+SUM(IF(U41:U134="www",$P$41:$P$134,""))+SUM(IF(U41:U134="xxx",$P$41:$P$134,""))+SUM(IF(U41:U134="yyy",$P$41:$P$134,""))+SUM(IF(U41:U134="zzz",$P$41:$P$134,""))</f>
        <v>0</v>
      </c>
      <c r="V151" s="54">
        <f t="array" ref="V151">SUM(IF(V41:V134="aaa",$P$41:$P$134,""))+SUM(IF(V41:V134="bbb",$P$41:$P$134,""))+SUM(IF(V41:V134="ccc",$P$41:$P$134,""))+SUM(IF(V41:V134="ddd",$P$41:$P$134,""))+SUM(IF(V41:V134="eee",$P$41:$P$134,""))+SUM(IF(V41:V134="fff",$P$41:$P$134,""))+SUM(IF(V41:V134="ggg",$P$41:$P$134,""))+SUM(IF(V41:V134="hhh",$P$41:$P$134,""))+SUM(IF(V41:V134="iii",$P$41:$P$134,""))+SUM(IF(V41:V134="jjj",$P$41:$P$134,""))+SUM(IF(V41:V134="kkk",$P$41:$P$134,""))+SUM(IF(V41:V134="lll",$P$41:$P$134,""))+SUM(IF(V41:V134="mmm",$P$41:$P$134,""))+SUM(IF(V41:V134="nnn",$P$41:$P$134,""))+SUM(IF(V41:V134="ooo",$P$41:$P$134,""))+SUM(IF(V41:V134="ppp",$P$41:$P$134,""))+SUM(IF(V41:V134="qqq",$P$41:$P$134,""))+SUM(IF(V41:V134="rrr",$P$41:$P$134,""))+SUM(IF(V41:V134="sss",$P$41:$P$134,""))+SUM(IF(V41:V134="ttt",$P$41:$P$134,""))+SUM(IF(V41:V134="uuu",$P$41:$P$134,""))+SUM(IF(V41:V134="vvv",$P$41:$P$134,""))+SUM(IF(V41:V134="www",$P$41:$P$134,""))+SUM(IF(V41:V134="xxx",$P$41:$P$134,""))+SUM(IF(V41:V134="yyy",$P$41:$P$134,""))+SUM(IF(V41:V134="zzz",$P$41:$P$134,""))</f>
        <v>0</v>
      </c>
      <c r="W151" s="54">
        <f t="array" ref="W151">SUM(IF(W41:W134="aaa",$P$41:$P$134,""))+SUM(IF(W41:W134="bbb",$P$41:$P$134,""))+SUM(IF(W41:W134="ccc",$P$41:$P$134,""))+SUM(IF(W41:W134="ddd",$P$41:$P$134,""))+SUM(IF(W41:W134="eee",$P$41:$P$134,""))+SUM(IF(W41:W134="fff",$P$41:$P$134,""))+SUM(IF(W41:W134="ggg",$P$41:$P$134,""))+SUM(IF(W41:W134="hhh",$P$41:$P$134,""))+SUM(IF(W41:W134="iii",$P$41:$P$134,""))+SUM(IF(W41:W134="jjj",$P$41:$P$134,""))+SUM(IF(W41:W134="kkk",$P$41:$P$134,""))+SUM(IF(W41:W134="lll",$P$41:$P$134,""))+SUM(IF(W41:W134="mmm",$P$41:$P$134,""))+SUM(IF(W41:W134="nnn",$P$41:$P$134,""))+SUM(IF(W41:W134="ooo",$P$41:$P$134,""))+SUM(IF(W41:W134="ppp",$P$41:$P$134,""))+SUM(IF(W41:W134="qqq",$P$41:$P$134,""))+SUM(IF(W41:W134="rrr",$P$41:$P$134,""))+SUM(IF(W41:W134="sss",$P$41:$P$134,""))+SUM(IF(W41:W134="ttt",$P$41:$P$134,""))+SUM(IF(W41:W134="uuu",$P$41:$P$134,""))+SUM(IF(W41:W134="vvv",$P$41:$P$134,""))+SUM(IF(W41:W134="www",$P$41:$P$134,""))+SUM(IF(W41:W134="xxx",$P$41:$P$134,""))+SUM(IF(W41:W134="yyy",$P$41:$P$134,""))+SUM(IF(W41:W134="zzz",$P$41:$P$134,""))</f>
        <v>0</v>
      </c>
      <c r="X151" t="s">
        <v>258</v>
      </c>
      <c r="Y151" s="95"/>
      <c r="Z151" s="95"/>
    </row>
    <row r="152" spans="19:26" ht="20.25" hidden="1" customHeight="1" x14ac:dyDescent="0.15">
      <c r="S152" s="54">
        <f t="array" ref="S152">SUM(IF(S41:S134="aaaa",$P$41:$P$134,""))+SUM(IF(S41:S134="bbbb",$P$41:$P$134,""))+SUM(IF(S41:S134="cccc",$P$41:$P$134,""))+SUM(IF(S41:S134="dddd",$P$41:$P$134,""))+SUM(IF(S41:S134="eeee",$P$41:$P$134,""))+SUM(IF(S41:S134="ffff",$P$41:$P$134,""))+SUM(IF(S41:S134="gggg",$P$41:$P$134,""))+SUM(IF(S41:S134="hhhh",$P$41:$P$134,""))+SUM(IF(S41:S134="iiii",$P$41:$P$134,""))+SUM(IF(S41:S134="jjjj",$P$41:$P$134,""))+SUM(IF(S41:S134="kkkk",$P$41:$P$134,""))+SUM(IF(S41:S134="llll",$P$41:$P$134,""))+SUM(IF(S41:S134="mmmm",$P$41:$P$134,""))+SUM(IF(S41:S134="nnnn",$P$41:$P$134,""))+SUM(IF(S41:S134="oooo",$P$41:$P$134,""))+SUM(IF(S41:S134="pppp",$P$41:$P$134,""))</f>
        <v>0</v>
      </c>
      <c r="T152" s="54">
        <f t="array" ref="T152">SUM(IF(T41:T134="aaaa",$P$41:$P$134,""))+SUM(IF(T41:T134="bbbb",$P$41:$P$134,""))+SUM(IF(T41:T134="cccc",$P$41:$P$134,""))+SUM(IF(T41:T134="dddd",$P$41:$P$134,""))+SUM(IF(T41:T134="eeee",$P$41:$P$134,""))+SUM(IF(T41:T134="ffff",$P$41:$P$134,""))+SUM(IF(T41:T134="gggg",$P$41:$P$134,""))+SUM(IF(T41:T134="hhhh",$P$41:$P$134,""))+SUM(IF(T41:T134="iiii",$P$41:$P$134,""))+SUM(IF(T41:T134="jjjj",$P$41:$P$134,""))+SUM(IF(T41:T134="kkkk",$P$41:$P$134,""))+SUM(IF(T41:T134="llll",$P$41:$P$134,""))+SUM(IF(T41:T134="mmmm",$P$41:$P$134,""))+SUM(IF(T41:T134="nnnn",$P$41:$P$134,""))+SUM(IF(T41:T134="oooo",$P$41:$P$134,""))+SUM(IF(T41:T134="pppp",$P$41:$P$134,""))</f>
        <v>0</v>
      </c>
      <c r="U152" s="54">
        <f t="array" ref="U152">SUM(IF(U41:U134="aaaa",$P$41:$P$134,""))+SUM(IF(U41:U134="bbbb",$P$41:$P$134,""))+SUM(IF(U41:U134="cccc",$P$41:$P$134,""))+SUM(IF(U41:U134="dddd",$P$41:$P$134,""))+SUM(IF(U41:U134="eeee",$P$41:$P$134,""))+SUM(IF(U41:U134="ffff",$P$41:$P$134,""))+SUM(IF(U41:U134="gggg",$P$41:$P$134,""))+SUM(IF(U41:U134="hhhh",$P$41:$P$134,""))+SUM(IF(U41:U134="iiii",$P$41:$P$134,""))+SUM(IF(U41:U134="jjjj",$P$41:$P$134,""))+SUM(IF(U41:U134="kkkk",$P$41:$P$134,""))+SUM(IF(U41:U134="llll",$P$41:$P$134,""))+SUM(IF(U41:U134="mmmm",$P$41:$P$134,""))+SUM(IF(U41:U134="nnnn",$P$41:$P$134,""))+SUM(IF(U41:U134="oooo",$P$41:$P$134,""))+SUM(IF(U41:U134="pppp",$P$41:$P$134,""))</f>
        <v>0</v>
      </c>
      <c r="V152" s="54">
        <f t="array" ref="V152">SUM(IF(V41:V134="aaaa",$P$41:$P$134,""))+SUM(IF(V41:V134="bbbb",$P$41:$P$134,""))+SUM(IF(V41:V134="cccc",$P$41:$P$134,""))+SUM(IF(V41:V134="dddd",$P$41:$P$134,""))+SUM(IF(V41:V134="eeee",$P$41:$P$134,""))+SUM(IF(V41:V134="ffff",$P$41:$P$134,""))+SUM(IF(V41:V134="gggg",$P$41:$P$134,""))+SUM(IF(V41:V134="hhhh",$P$41:$P$134,""))+SUM(IF(V41:V134="iiii",$P$41:$P$134,""))+SUM(IF(V41:V134="jjjj",$P$41:$P$134,""))+SUM(IF(V41:V134="kkkk",$P$41:$P$134,""))+SUM(IF(V41:V134="llll",$P$41:$P$134,""))+SUM(IF(V41:V134="mmmm",$P$41:$P$134,""))+SUM(IF(V41:V134="nnnn",$P$41:$P$134,""))+SUM(IF(V41:V134="oooo",$P$41:$P$134,""))+SUM(IF(V41:V134="pppp",$P$41:$P$134,""))</f>
        <v>0</v>
      </c>
      <c r="W152" s="54">
        <f t="array" ref="W152">SUM(IF(W41:W134="aaaa",$P$41:$P$134,""))+SUM(IF(W41:W134="bbbb",$P$41:$P$134,""))+SUM(IF(W41:W134="cccc",$P$41:$P$134,""))+SUM(IF(W41:W134="dddd",$P$41:$P$134,""))+SUM(IF(W41:W134="eeee",$P$41:$P$134,""))+SUM(IF(W41:W134="ffff",$P$41:$P$134,""))+SUM(IF(W41:W134="gggg",$P$41:$P$134,""))+SUM(IF(W41:W134="hhhh",$P$41:$P$134,""))+SUM(IF(W41:W134="iiii",$P$41:$P$134,""))+SUM(IF(W41:W134="jjjj",$P$41:$P$134,""))+SUM(IF(W41:W134="kkkk",$P$41:$P$134,""))+SUM(IF(W41:W134="llll",$P$41:$P$134,""))+SUM(IF(W41:W134="mmmm",$P$41:$P$134,""))+SUM(IF(W41:W134="nnnn",$P$41:$P$134,""))+SUM(IF(W41:W134="oooo",$P$41:$P$134,""))+SUM(IF(W41:W134="pppp",$P$41:$P$134,""))</f>
        <v>0</v>
      </c>
      <c r="X152" t="s">
        <v>810</v>
      </c>
      <c r="Y152" s="95"/>
      <c r="Z152" s="95"/>
    </row>
    <row r="153" spans="19:26" ht="20.25" hidden="1" customHeight="1" x14ac:dyDescent="0.15">
      <c r="S153" s="111">
        <f>SUM(S149:S152)</f>
        <v>0</v>
      </c>
      <c r="T153" s="111">
        <f>SUM(T149:T152)</f>
        <v>0</v>
      </c>
      <c r="U153" s="111">
        <f>SUM(U149:U152)</f>
        <v>0</v>
      </c>
      <c r="V153" s="111">
        <f>SUM(V149:V152)</f>
        <v>0</v>
      </c>
      <c r="W153" s="111">
        <f>SUM(W149:W152)</f>
        <v>0</v>
      </c>
      <c r="X153" s="2" t="s">
        <v>260</v>
      </c>
      <c r="Y153" s="29"/>
      <c r="Z153" s="29"/>
    </row>
    <row r="154" spans="19:26" ht="20.25" hidden="1" customHeight="1" x14ac:dyDescent="0.15">
      <c r="Y154" s="29"/>
      <c r="Z154" s="29"/>
    </row>
    <row r="155" spans="19:26" ht="20.25" hidden="1" customHeight="1" x14ac:dyDescent="0.15">
      <c r="S155" s="54">
        <f t="array" ref="S155">SUM(IF(S41:S134="a",$Q$41:$Q$134,""))+SUM(IF(S41:S134="b",$Q$41:$Q$134,""))+SUM(IF(S41:S134="c",$Q$41:$Q$134,""))+SUM(IF(S41:S134="d",$Q$41:$Q$134,""))+SUM(IF(S41:S134="e",$Q$41:$Q$134,""))+SUM(IF(S41:S134="f",$Q$41:$Q$134,""))+SUM(IF(S41:S134="g",$Q$41:$Q$134,""))+SUM(IF(S41:S134="h",$Q$41:$Q$134,""))+SUM(IF(S41:S134="i",$Q$41:$Q$134,""))+SUM(IF(S41:S134="j",$Q$41:$Q$134,""))+SUM(IF(S41:S134="k",$Q$41:$Q$134,""))+SUM(IF(S41:S134="l",$Q$41:$Q$134,""))+SUM(IF(S41:S134="m",$Q$41:$Q$134,""))+SUM(IF(S41:S134="n",$Q$41:$Q$134,""))+SUM(IF(S41:S134="o",$Q$41:$Q$134,""))+SUM(IF(S41:S134="p",$Q$41:$Q$134,""))+SUM(IF(S41:S134="q",$Q$41:$Q$134,""))+SUM(IF(S41:S134="r",$Q$41:$Q$134,""))+SUM(IF(S41:S134="s",$Q$41:$Q$134,""))+SUM(IF(S41:S134="t",$Q$41:$Q$134,""))+SUM(IF(S41:S134="u",$Q$41:$Q$134,""))+SUM(IF(S41:S134="v",$Q$41:$Q$134,""))+SUM(IF(S41:S134="w",$Q$41:$Q$134,""))+SUM(IF(S41:S134="x",$Q$41:$Q$134,""))+SUM(IF(S41:S134="y",$Q$41:$Q$134,""))+SUM(IF(S41:S134="z",$Q$41:$Q$134,""))</f>
        <v>0</v>
      </c>
      <c r="T155" s="54">
        <f t="array" ref="T155">SUM(IF(T41:T134="a",$Q$41:$Q$134,""))+SUM(IF(T41:T134="b",$Q$41:$Q$134,""))+SUM(IF(T41:T134="c",$Q$41:$Q$134,""))+SUM(IF(T41:T134="d",$Q$41:$Q$134,""))+SUM(IF(T41:T134="e",$Q$41:$Q$134,""))+SUM(IF(T41:T134="f",$Q$41:$Q$134,""))+SUM(IF(T41:T134="g",$Q$41:$Q$134,""))+SUM(IF(T41:T134="h",$Q$41:$Q$134,""))+SUM(IF(T41:T134="i",$Q$41:$Q$134,""))+SUM(IF(T41:T134="j",$Q$41:$Q$134,""))+SUM(IF(T41:T134="k",$Q$41:$Q$134,""))+SUM(IF(T41:T134="l",$Q$41:$Q$134,""))+SUM(IF(T41:T134="m",$Q$41:$Q$134,""))+SUM(IF(T41:T134="n",$Q$41:$Q$134,""))+SUM(IF(T41:T134="o",$Q$41:$Q$134,""))+SUM(IF(T41:T134="p",$Q$41:$Q$134,""))+SUM(IF(T41:T134="q",$Q$41:$Q$134,""))+SUM(IF(T41:T134="r",$Q$41:$Q$134,""))+SUM(IF(T41:T134="s",$Q$41:$Q$134,""))+SUM(IF(T41:T134="t",$Q$41:$Q$134,""))+SUM(IF(T41:T134="u",$Q$41:$Q$134,""))+SUM(IF(T41:T134="v",$Q$41:$Q$134,""))+SUM(IF(T41:T134="w",$Q$41:$Q$134,""))+SUM(IF(T41:T134="x",$Q$41:$Q$134,""))+SUM(IF(T41:T134="y",$Q$41:$Q$134,""))+SUM(IF(T41:T134="z",$Q$41:$Q$134,""))</f>
        <v>0</v>
      </c>
      <c r="U155" s="54">
        <f t="array" ref="U155">SUM(IF(U41:U134="a",$Q$41:$Q$134,""))+SUM(IF(U41:U134="b",$Q$41:$Q$134,""))+SUM(IF(U41:U134="c",$Q$41:$Q$134,""))+SUM(IF(U41:U134="d",$Q$41:$Q$134,""))+SUM(IF(U41:U134="e",$Q$41:$Q$134,""))+SUM(IF(U41:U134="f",$Q$41:$Q$134,""))+SUM(IF(U41:U134="g",$Q$41:$Q$134,""))+SUM(IF(U41:U134="h",$Q$41:$Q$134,""))+SUM(IF(U41:U134="i",$Q$41:$Q$134,""))+SUM(IF(U41:U134="j",$Q$41:$Q$134,""))+SUM(IF(U41:U134="k",$Q$41:$Q$134,""))+SUM(IF(U41:U134="l",$Q$41:$Q$134,""))+SUM(IF(U41:U134="m",$Q$41:$Q$134,""))+SUM(IF(U41:U134="n",$Q$41:$Q$134,""))+SUM(IF(U41:U134="o",$Q$41:$Q$134,""))+SUM(IF(U41:U134="p",$Q$41:$Q$134,""))+SUM(IF(U41:U134="q",$Q$41:$Q$134,""))+SUM(IF(U41:U134="r",$Q$41:$Q$134,""))+SUM(IF(U41:U134="s",$Q$41:$Q$134,""))+SUM(IF(U41:U134="t",$Q$41:$Q$134,""))+SUM(IF(U41:U134="u",$Q$41:$Q$134,""))+SUM(IF(U41:U134="v",$Q$41:$Q$134,""))+SUM(IF(U41:U134="w",$Q$41:$Q$134,""))+SUM(IF(U41:U134="x",$Q$41:$Q$134,""))+SUM(IF(U41:U134="y",$Q$41:$Q$134,""))+SUM(IF(U41:U134="z",$Q$41:$Q$134,""))</f>
        <v>0</v>
      </c>
      <c r="V155" s="54">
        <f t="array" ref="V155">SUM(IF(V41:V134="a",$Q$41:$Q$134,""))+SUM(IF(V41:V134="b",$Q$41:$Q$134,""))+SUM(IF(V41:V134="c",$Q$41:$Q$134,""))+SUM(IF(V41:V134="d",$Q$41:$Q$134,""))+SUM(IF(V41:V134="e",$Q$41:$Q$134,""))+SUM(IF(V41:V134="f",$Q$41:$Q$134,""))+SUM(IF(V41:V134="g",$Q$41:$Q$134,""))+SUM(IF(V41:V134="h",$Q$41:$Q$134,""))+SUM(IF(V41:V134="i",$Q$41:$Q$134,""))+SUM(IF(V41:V134="j",$Q$41:$Q$134,""))+SUM(IF(V41:V134="k",$Q$41:$Q$134,""))+SUM(IF(V41:V134="l",$Q$41:$Q$134,""))+SUM(IF(V41:V134="m",$Q$41:$Q$134,""))+SUM(IF(V41:V134="n",$Q$41:$Q$134,""))+SUM(IF(V41:V134="o",$Q$41:$Q$134,""))+SUM(IF(V41:V134="p",$Q$41:$Q$134,""))+SUM(IF(V41:V134="q",$Q$41:$Q$134,""))+SUM(IF(V41:V134="r",$Q$41:$Q$134,""))+SUM(IF(V41:V134="s",$Q$41:$Q$134,""))+SUM(IF(V41:V134="t",$Q$41:$Q$134,""))+SUM(IF(V41:V134="u",$Q$41:$Q$134,""))+SUM(IF(V41:V134="v",$Q$41:$Q$134,""))+SUM(IF(V41:V134="w",$Q$41:$Q$134,""))+SUM(IF(V41:V134="x",$Q$41:$Q$134,""))+SUM(IF(V41:V134="y",$Q$41:$Q$134,""))+SUM(IF(V41:V134="z",$Q$41:$Q$134,""))</f>
        <v>0</v>
      </c>
      <c r="W155" s="54">
        <f t="array" ref="W155">SUM(IF(W41:W134="a",$Q$41:$Q$134,""))+SUM(IF(W41:W134="b",$Q$41:$Q$134,""))+SUM(IF(W41:W134="c",$Q$41:$Q$134,""))+SUM(IF(W41:W134="d",$Q$41:$Q$134,""))+SUM(IF(W41:W134="e",$Q$41:$Q$134,""))+SUM(IF(W41:W134="f",$Q$41:$Q$134,""))+SUM(IF(W41:W134="g",$Q$41:$Q$134,""))+SUM(IF(W41:W134="h",$Q$41:$Q$134,""))+SUM(IF(W41:W134="i",$Q$41:$Q$134,""))+SUM(IF(W41:W134="j",$Q$41:$Q$134,""))+SUM(IF(W41:W134="k",$Q$41:$Q$134,""))+SUM(IF(W41:W134="l",$Q$41:$Q$134,""))+SUM(IF(W41:W134="m",$Q$41:$Q$134,""))+SUM(IF(W41:W134="n",$Q$41:$Q$134,""))+SUM(IF(W41:W134="o",$Q$41:$Q$134,""))+SUM(IF(W41:W134="p",$Q$41:$Q$134,""))+SUM(IF(W41:W134="q",$Q$41:$Q$134,""))+SUM(IF(W41:W134="r",$Q$41:$Q$134,""))+SUM(IF(W41:W134="s",$Q$41:$Q$134,""))+SUM(IF(W41:W134="t",$Q$41:$Q$134,""))+SUM(IF(W41:W134="u",$Q$41:$Q$134,""))+SUM(IF(W41:W134="v",$Q$41:$Q$134,""))+SUM(IF(W41:W134="w",$Q$41:$Q$134,""))+SUM(IF(W41:W134="x",$Q$41:$Q$134,""))+SUM(IF(W41:W134="y",$Q$41:$Q$134,""))+SUM(IF(W41:W134="z",$Q$41:$Q$134,""))</f>
        <v>0</v>
      </c>
      <c r="X155" t="s">
        <v>256</v>
      </c>
      <c r="Y155" s="95"/>
      <c r="Z155" s="95"/>
    </row>
    <row r="156" spans="19:26" ht="20.25" hidden="1" customHeight="1" x14ac:dyDescent="0.15">
      <c r="S156" s="54">
        <f t="array" ref="S156">SUM(IF(S41:S134="aa",$Q$41:$Q$134,""))+SUM(IF(S41:S134="bb",$Q$41:$Q$134,""))+SUM(IF(S41:S134="cc",$Q$41:$Q$134,""))+SUM(IF(S41:S134="dd",$Q$41:$Q$134,""))+SUM(IF(S41:S134="ee",$Q$41:$Q$134,""))+SUM(IF(S41:S134="ff",$Q$41:$Q$134,""))+SUM(IF(S41:S134="gg",$Q$41:$Q$134,""))+SUM(IF(S41:S134="hh",$Q$41:$Q$134,""))+SUM(IF(S41:S134="ii",$Q$41:$Q$134,""))+SUM(IF(S41:S134="jj",$Q$41:$Q$134,""))+SUM(IF(S41:S134="kk",$Q$41:$Q$134,""))+SUM(IF(S41:S134="ll",$Q$41:$Q$134,""))+SUM(IF(S41:S134="mm",$Q$41:$Q$134,""))+SUM(IF(S41:S134="nn",$Q$41:$Q$134,""))+SUM(IF(S41:S134="oo",$Q$41:$Q$134,""))+SUM(IF(S41:S134="pp",$Q$41:$Q$134,""))+SUM(IF(S41:S134="qq",$Q$41:$Q$134,""))+SUM(IF(S41:S134="rr",$Q$41:$Q$134,""))+SUM(IF(S41:S134="ss",$Q$41:$Q$134,""))+SUM(IF(S41:S134="tt",$Q$41:$Q$134,""))+SUM(IF(S41:S134="uu",$Q$41:$Q$134,""))+SUM(IF(S41:S134="vv",$Q$41:$Q$134,""))+SUM(IF(S41:S134="ww",$Q$41:$Q$134,""))+SUM(IF(S41:S134="xx",$Q$41:$Q$134,""))+SUM(IF(S41:S134="yy",$Q$41:$Q$134,""))+SUM(IF(S41:S134="zz",$Q$41:$Q$134,""))</f>
        <v>0</v>
      </c>
      <c r="T156" s="54">
        <f t="array" ref="T156">SUM(IF(T41:T134="aa",$Q$41:$Q$134,""))+SUM(IF(T41:T134="bb",$Q$41:$Q$134,""))+SUM(IF(T41:T134="cc",$Q$41:$Q$134,""))+SUM(IF(T41:T134="dd",$Q$41:$Q$134,""))+SUM(IF(T41:T134="ee",$Q$41:$Q$134,""))+SUM(IF(T41:T134="ff",$Q$41:$Q$134,""))+SUM(IF(T41:T134="gg",$Q$41:$Q$134,""))+SUM(IF(T41:T134="hh",$Q$41:$Q$134,""))+SUM(IF(T41:T134="ii",$Q$41:$Q$134,""))+SUM(IF(T41:T134="jj",$Q$41:$Q$134,""))+SUM(IF(T41:T134="kk",$Q$41:$Q$134,""))+SUM(IF(T41:T134="ll",$Q$41:$Q$134,""))+SUM(IF(T41:T134="mm",$Q$41:$Q$134,""))+SUM(IF(T41:T134="nn",$Q$41:$Q$134,""))+SUM(IF(T41:T134="oo",$Q$41:$Q$134,""))+SUM(IF(T41:T134="pp",$Q$41:$Q$134,""))+SUM(IF(T41:T134="qq",$Q$41:$Q$134,""))+SUM(IF(T41:T134="rr",$Q$41:$Q$134,""))+SUM(IF(T41:T134="ss",$Q$41:$Q$134,""))+SUM(IF(T41:T134="tt",$Q$41:$Q$134,""))+SUM(IF(T41:T134="uu",$Q$41:$Q$134,""))+SUM(IF(T41:T134="vv",$Q$41:$Q$134,""))+SUM(IF(T41:T134="ww",$Q$41:$Q$134,""))+SUM(IF(T41:T134="xx",$Q$41:$Q$134,""))+SUM(IF(T41:T134="yy",$Q$41:$Q$134,""))+SUM(IF(T41:T134="zz",$Q$41:$Q$134,""))</f>
        <v>0</v>
      </c>
      <c r="U156" s="54">
        <f t="array" ref="U156">SUM(IF(U41:U134="aa",$Q$41:$Q$134,""))+SUM(IF(U41:U134="bb",$Q$41:$Q$134,""))+SUM(IF(U41:U134="cc",$Q$41:$Q$134,""))+SUM(IF(U41:U134="dd",$Q$41:$Q$134,""))+SUM(IF(U41:U134="ee",$Q$41:$Q$134,""))+SUM(IF(U41:U134="ff",$Q$41:$Q$134,""))+SUM(IF(U41:U134="gg",$Q$41:$Q$134,""))+SUM(IF(U41:U134="hh",$Q$41:$Q$134,""))+SUM(IF(U41:U134="ii",$Q$41:$Q$134,""))+SUM(IF(U41:U134="jj",$Q$41:$Q$134,""))+SUM(IF(U41:U134="kk",$Q$41:$Q$134,""))+SUM(IF(U41:U134="ll",$Q$41:$Q$134,""))+SUM(IF(U41:U134="mm",$Q$41:$Q$134,""))+SUM(IF(U41:U134="nn",$Q$41:$Q$134,""))+SUM(IF(U41:U134="oo",$Q$41:$Q$134,""))+SUM(IF(U41:U134="pp",$Q$41:$Q$134,""))+SUM(IF(U41:U134="qq",$Q$41:$Q$134,""))+SUM(IF(U41:U134="rr",$Q$41:$Q$134,""))+SUM(IF(U41:U134="ss",$Q$41:$Q$134,""))+SUM(IF(U41:U134="tt",$Q$41:$Q$134,""))+SUM(IF(U41:U134="uu",$Q$41:$Q$134,""))+SUM(IF(U41:U134="vv",$Q$41:$Q$134,""))+SUM(IF(U41:U134="ww",$Q$41:$Q$134,""))+SUM(IF(U41:U134="xx",$Q$41:$Q$134,""))+SUM(IF(U41:U134="yy",$Q$41:$Q$134,""))+SUM(IF(U41:U134="zz",$Q$41:$Q$134,""))</f>
        <v>0</v>
      </c>
      <c r="V156" s="54">
        <f t="array" ref="V156">SUM(IF(V41:V134="aa",$Q$41:$Q$134,""))+SUM(IF(V41:V134="bb",$Q$41:$Q$134,""))+SUM(IF(V41:V134="cc",$Q$41:$Q$134,""))+SUM(IF(V41:V134="dd",$Q$41:$Q$134,""))+SUM(IF(V41:V134="ee",$Q$41:$Q$134,""))+SUM(IF(V41:V134="ff",$Q$41:$Q$134,""))+SUM(IF(V41:V134="gg",$Q$41:$Q$134,""))+SUM(IF(V41:V134="hh",$Q$41:$Q$134,""))+SUM(IF(V41:V134="ii",$Q$41:$Q$134,""))+SUM(IF(V41:V134="jj",$Q$41:$Q$134,""))+SUM(IF(V41:V134="kk",$Q$41:$Q$134,""))+SUM(IF(V41:V134="ll",$Q$41:$Q$134,""))+SUM(IF(V41:V134="mm",$Q$41:$Q$134,""))+SUM(IF(V41:V134="nn",$Q$41:$Q$134,""))+SUM(IF(V41:V134="oo",$Q$41:$Q$134,""))+SUM(IF(V41:V134="pp",$Q$41:$Q$134,""))+SUM(IF(V41:V134="qq",$Q$41:$Q$134,""))+SUM(IF(V41:V134="rr",$Q$41:$Q$134,""))+SUM(IF(V41:V134="ss",$Q$41:$Q$134,""))+SUM(IF(V41:V134="tt",$Q$41:$Q$134,""))+SUM(IF(V41:V134="uu",$Q$41:$Q$134,""))+SUM(IF(V41:V134="vv",$Q$41:$Q$134,""))+SUM(IF(V41:V134="ww",$Q$41:$Q$134,""))+SUM(IF(V41:V134="xx",$Q$41:$Q$134,""))+SUM(IF(V41:V134="yy",$Q$41:$Q$134,""))+SUM(IF(V41:V134="zz",$Q$41:$Q$134,""))</f>
        <v>0</v>
      </c>
      <c r="W156" s="54">
        <f t="array" ref="W156">SUM(IF(W41:W134="aa",$Q$41:$Q$134,""))+SUM(IF(W41:W134="bb",$Q$41:$Q$134,""))+SUM(IF(W41:W134="cc",$Q$41:$Q$134,""))+SUM(IF(W41:W134="dd",$Q$41:$Q$134,""))+SUM(IF(W41:W134="ee",$Q$41:$Q$134,""))+SUM(IF(W41:W134="ff",$Q$41:$Q$134,""))+SUM(IF(W41:W134="gg",$Q$41:$Q$134,""))+SUM(IF(W41:W134="hh",$Q$41:$Q$134,""))+SUM(IF(W41:W134="ii",$Q$41:$Q$134,""))+SUM(IF(W41:W134="jj",$Q$41:$Q$134,""))+SUM(IF(W41:W134="kk",$Q$41:$Q$134,""))+SUM(IF(W41:W134="ll",$Q$41:$Q$134,""))+SUM(IF(W41:W134="mm",$Q$41:$Q$134,""))+SUM(IF(W41:W134="nn",$Q$41:$Q$134,""))+SUM(IF(W41:W134="oo",$Q$41:$Q$134,""))+SUM(IF(W41:W134="pp",$Q$41:$Q$134,""))+SUM(IF(W41:W134="qq",$Q$41:$Q$134,""))+SUM(IF(W41:W134="rr",$Q$41:$Q$134,""))+SUM(IF(W41:W134="ss",$Q$41:$Q$134,""))+SUM(IF(W41:W134="tt",$Q$41:$Q$134,""))+SUM(IF(W41:W134="uu",$Q$41:$Q$134,""))+SUM(IF(W41:W134="vv",$Q$41:$Q$134,""))+SUM(IF(W41:W134="ww",$Q$41:$Q$134,""))+SUM(IF(W41:W134="xx",$Q$41:$Q$134,""))+SUM(IF(W41:W134="yy",$Q$41:$Q$134,""))+SUM(IF(W41:W134="zz",$Q$41:$Q$134,""))</f>
        <v>0</v>
      </c>
      <c r="X156" t="s">
        <v>257</v>
      </c>
      <c r="Y156" s="95"/>
      <c r="Z156" s="95"/>
    </row>
    <row r="157" spans="19:26" ht="20.25" hidden="1" customHeight="1" x14ac:dyDescent="0.15">
      <c r="S157" s="54">
        <f t="array" ref="S157">SUM(IF(S41:S134="aaa",$Q$41:$Q$134,""))+SUM(IF(S41:S134="bbb",$Q$41:$Q$134,""))+SUM(IF(S41:S134="ccc",$Q$41:$Q$134,""))+SUM(IF(S41:S134="ddd",$Q$41:$Q$134,""))+SUM(IF(S41:S134="eee",$Q$41:$Q$134,""))+SUM(IF(S41:S134="fff",$Q$41:$Q$134,""))+SUM(IF(S41:S134="ggg",$Q$41:$Q$134,""))+SUM(IF(S41:S134="hhh",$Q$41:$Q$134,""))+SUM(IF(S41:S134="iii",$Q$41:$Q$134,""))+SUM(IF(S41:S134="jjj",$Q$41:$Q$134,""))+SUM(IF(S41:S134="kkk",$Q$41:$Q$134,""))+SUM(IF(S41:S134="lll",$Q$41:$Q$134,""))+SUM(IF(S41:S134="mmm",$Q$41:$Q$134,""))+SUM(IF(S41:S134="nnn",$Q$41:$Q$134,""))+SUM(IF(S41:S134="ooo",$Q$41:$Q$134,""))+SUM(IF(S41:S134="ppp",$Q$41:$Q$134,""))+SUM(IF(S41:S134="qqq",$Q$41:$Q$134,""))+SUM(IF(S41:S134="rrr",$Q$41:$Q$134,""))+SUM(IF(S41:S134="sss",$Q$41:$Q$134,""))+SUM(IF(S41:S134="ttt",$Q$41:$Q$134,""))+SUM(IF(S41:S134="uuu",$Q$41:$Q$134,""))+SUM(IF(S41:S134="vvv",$Q$41:$Q$134,""))+SUM(IF(S41:S134="www",$Q$41:$Q$134,""))+SUM(IF(S41:S134="xxx",$Q$41:$Q$134,""))+SUM(IF(S41:S134="yyy",$Q$41:$Q$134,""))+SUM(IF(S41:S134="zzz",$Q$41:$Q$134,""))</f>
        <v>0</v>
      </c>
      <c r="T157" s="54">
        <f t="array" ref="T157">SUM(IF(T41:T134="aaa",$Q$41:$Q$134,""))+SUM(IF(T41:T134="bbb",$Q$41:$Q$134,""))+SUM(IF(T41:T134="ccc",$Q$41:$Q$134,""))+SUM(IF(T41:T134="ddd",$Q$41:$Q$134,""))+SUM(IF(T41:T134="eee",$Q$41:$Q$134,""))+SUM(IF(T41:T134="fff",$Q$41:$Q$134,""))+SUM(IF(T41:T134="ggg",$Q$41:$Q$134,""))+SUM(IF(T41:T134="hhh",$Q$41:$Q$134,""))+SUM(IF(T41:T134="iii",$Q$41:$Q$134,""))+SUM(IF(T41:T134="jjj",$Q$41:$Q$134,""))+SUM(IF(T41:T134="kkk",$Q$41:$Q$134,""))+SUM(IF(T41:T134="lll",$Q$41:$Q$134,""))+SUM(IF(T41:T134="mmm",$Q$41:$Q$134,""))+SUM(IF(T41:T134="nnn",$Q$41:$Q$134,""))+SUM(IF(T41:T134="ooo",$Q$41:$Q$134,""))+SUM(IF(T41:T134="ppp",$Q$41:$Q$134,""))+SUM(IF(T41:T134="qqq",$Q$41:$Q$134,""))+SUM(IF(T41:T134="rrr",$Q$41:$Q$134,""))+SUM(IF(T41:T134="sss",$Q$41:$Q$134,""))+SUM(IF(T41:T134="ttt",$Q$41:$Q$134,""))+SUM(IF(T41:T134="uuu",$Q$41:$Q$134,""))+SUM(IF(T41:T134="vvv",$Q$41:$Q$134,""))+SUM(IF(T41:T134="www",$Q$41:$Q$134,""))+SUM(IF(T41:T134="xxx",$Q$41:$Q$134,""))+SUM(IF(T41:T134="yyy",$Q$41:$Q$134,""))+SUM(IF(T41:T134="zzz",$Q$41:$Q$134,""))</f>
        <v>0</v>
      </c>
      <c r="U157" s="54">
        <f t="array" ref="U157">SUM(IF(U41:U134="aaa",$Q$41:$Q$134,""))+SUM(IF(U41:U134="bbb",$Q$41:$Q$134,""))+SUM(IF(U41:U134="ccc",$Q$41:$Q$134,""))+SUM(IF(U41:U134="ddd",$Q$41:$Q$134,""))+SUM(IF(U41:U134="eee",$Q$41:$Q$134,""))+SUM(IF(U41:U134="fff",$Q$41:$Q$134,""))+SUM(IF(U41:U134="ggg",$Q$41:$Q$134,""))+SUM(IF(U41:U134="hhh",$Q$41:$Q$134,""))+SUM(IF(U41:U134="iii",$Q$41:$Q$134,""))+SUM(IF(U41:U134="jjj",$Q$41:$Q$134,""))+SUM(IF(U41:U134="kkk",$Q$41:$Q$134,""))+SUM(IF(U41:U134="lll",$Q$41:$Q$134,""))+SUM(IF(U41:U134="mmm",$Q$41:$Q$134,""))+SUM(IF(U41:U134="nnn",$Q$41:$Q$134,""))+SUM(IF(U41:U134="ooo",$Q$41:$Q$134,""))+SUM(IF(U41:U134="ppp",$Q$41:$Q$134,""))+SUM(IF(U41:U134="qqq",$Q$41:$Q$134,""))+SUM(IF(U41:U134="rrr",$Q$41:$Q$134,""))+SUM(IF(U41:U134="sss",$Q$41:$Q$134,""))+SUM(IF(U41:U134="ttt",$Q$41:$Q$134,""))+SUM(IF(U41:U134="uuu",$Q$41:$Q$134,""))+SUM(IF(U41:U134="vvv",$Q$41:$Q$134,""))+SUM(IF(U41:U134="www",$Q$41:$Q$134,""))+SUM(IF(U41:U134="xxx",$Q$41:$Q$134,""))+SUM(IF(U41:U134="yyy",$Q$41:$Q$134,""))+SUM(IF(U41:U134="zzz",$Q$41:$Q$134,""))</f>
        <v>0</v>
      </c>
      <c r="V157" s="54">
        <f t="array" ref="V157">SUM(IF(V41:V134="aaa",$Q$41:$Q$134,""))+SUM(IF(V41:V134="bbb",$Q$41:$Q$134,""))+SUM(IF(V41:V134="ccc",$Q$41:$Q$134,""))+SUM(IF(V41:V134="ddd",$Q$41:$Q$134,""))+SUM(IF(V41:V134="eee",$Q$41:$Q$134,""))+SUM(IF(V41:V134="fff",$Q$41:$Q$134,""))+SUM(IF(V41:V134="ggg",$Q$41:$Q$134,""))+SUM(IF(V41:V134="hhh",$Q$41:$Q$134,""))+SUM(IF(V41:V134="iii",$Q$41:$Q$134,""))+SUM(IF(V41:V134="jjj",$Q$41:$Q$134,""))+SUM(IF(V41:V134="kkk",$Q$41:$Q$134,""))+SUM(IF(V41:V134="lll",$Q$41:$Q$134,""))+SUM(IF(V41:V134="mmm",$Q$41:$Q$134,""))+SUM(IF(V41:V134="nnn",$Q$41:$Q$134,""))+SUM(IF(V41:V134="ooo",$Q$41:$Q$134,""))+SUM(IF(V41:V134="ppp",$Q$41:$Q$134,""))+SUM(IF(V41:V134="qqq",$Q$41:$Q$134,""))+SUM(IF(V41:V134="rrr",$Q$41:$Q$134,""))+SUM(IF(V41:V134="sss",$Q$41:$Q$134,""))+SUM(IF(V41:V134="ttt",$Q$41:$Q$134,""))+SUM(IF(V41:V134="uuu",$Q$41:$Q$134,""))+SUM(IF(V41:V134="vvv",$Q$41:$Q$134,""))+SUM(IF(V41:V134="www",$Q$41:$Q$134,""))+SUM(IF(V41:V134="xxx",$Q$41:$Q$134,""))+SUM(IF(V41:V134="yyy",$Q$41:$Q$134,""))+SUM(IF(V41:V134="zzz",$Q$41:$Q$134,""))</f>
        <v>0</v>
      </c>
      <c r="W157" s="54">
        <f t="array" ref="W157">SUM(IF(W41:W134="aaa",$Q$41:$Q$134,""))+SUM(IF(W41:W134="bbb",$Q$41:$Q$134,""))+SUM(IF(W41:W134="ccc",$Q$41:$Q$134,""))+SUM(IF(W41:W134="ddd",$Q$41:$Q$134,""))+SUM(IF(W41:W134="eee",$Q$41:$Q$134,""))+SUM(IF(W41:W134="fff",$Q$41:$Q$134,""))+SUM(IF(W41:W134="ggg",$Q$41:$Q$134,""))+SUM(IF(W41:W134="hhh",$Q$41:$Q$134,""))+SUM(IF(W41:W134="iii",$Q$41:$Q$134,""))+SUM(IF(W41:W134="jjj",$Q$41:$Q$134,""))+SUM(IF(W41:W134="kkk",$Q$41:$Q$134,""))+SUM(IF(W41:W134="lll",$Q$41:$Q$134,""))+SUM(IF(W41:W134="mmm",$Q$41:$Q$134,""))+SUM(IF(W41:W134="nnn",$Q$41:$Q$134,""))+SUM(IF(W41:W134="ooo",$Q$41:$Q$134,""))+SUM(IF(W41:W134="ppp",$Q$41:$Q$134,""))+SUM(IF(W41:W134="qqq",$Q$41:$Q$134,""))+SUM(IF(W41:W134="rrr",$Q$41:$Q$134,""))+SUM(IF(W41:W134="sss",$Q$41:$Q$134,""))+SUM(IF(W41:W134="ttt",$Q$41:$Q$134,""))+SUM(IF(W41:W134="uuu",$Q$41:$Q$134,""))+SUM(IF(W41:W134="vvv",$Q$41:$Q$134,""))+SUM(IF(W41:W134="www",$Q$41:$Q$134,""))+SUM(IF(W41:W134="xxx",$Q$41:$Q$134,""))+SUM(IF(W41:W134="yyy",$Q$41:$Q$134,""))+SUM(IF(W41:W134="zzz",$Q$41:$Q$134,""))</f>
        <v>0</v>
      </c>
      <c r="X157" t="s">
        <v>258</v>
      </c>
      <c r="Y157" s="95"/>
      <c r="Z157" s="95"/>
    </row>
    <row r="158" spans="19:26" ht="20.25" hidden="1" customHeight="1" x14ac:dyDescent="0.15">
      <c r="S158" s="54">
        <f t="array" ref="S158">SUM(IF(S41:S134="aaaa",$Q$41:$Q$134,""))+SUM(IF(S41:S134="bbbb",$Q$41:$Q$134,""))+SUM(IF(S41:S134="cccc",$Q$41:$Q$134,""))+SUM(IF(S41:S134="dddd",$Q$41:$Q$134,""))+SUM(IF(S41:S134="eeee",$Q$41:$Q$134,""))+SUM(IF(S41:S134="ffff",$Q$41:$Q$134,""))+SUM(IF(S41:S134="gggg",$Q$41:$Q$134,""))+SUM(IF(S41:S134="hhhh",$Q$41:$Q$134,""))+SUM(IF(S41:S134="iiii",$Q$41:$Q$134,""))+SUM(IF(S41:S134="jjjj",$Q$41:$Q$134,""))+SUM(IF(S41:S134="kkkk",$Q$41:$Q$134,""))+SUM(IF(S34:S134="llll",$Q$41:$Q$134,""))+SUM(IF(S34:S134="mmmm",$Q$41:$Q$134,""))+SUM(IF(S34:S134="nnnn",$Q$41:$Q$134,""))+SUM(IF(S34:S134="oooo",$Q$41:$Q$134,""))+SUM(IF(S34:S134="pppp",$Q$41:$Q$134,""))</f>
        <v>0</v>
      </c>
      <c r="T158" s="54">
        <f t="array" ref="T158">SUM(IF(T41:T134="aaaa",$Q$41:$Q$134,""))+SUM(IF(T41:T134="bbbb",$Q$41:$Q$134,""))+SUM(IF(T41:T134="cccc",$Q$41:$Q$134,""))+SUM(IF(T41:T134="dddd",$Q$41:$Q$134,""))+SUM(IF(T41:T134="eeee",$Q$41:$Q$134,""))+SUM(IF(T41:T134="ffff",$Q$41:$Q$134,""))+SUM(IF(T41:T134="gggg",$Q$41:$Q$134,""))+SUM(IF(T41:T134="hhhh",$Q$41:$Q$134,""))+SUM(IF(T41:T134="iiii",$Q$41:$Q$134,""))+SUM(IF(T41:T134="jjjj",$Q$41:$Q$134,""))+SUM(IF(T41:T134="kkkk",$Q$41:$Q$134,""))+SUM(IF(T34:T134="llll",$Q$41:$Q$134,""))+SUM(IF(T34:T134="mmmm",$Q$41:$Q$134,""))+SUM(IF(T34:T134="nnnn",$Q$41:$Q$134,""))+SUM(IF(T34:T134="oooo",$Q$41:$Q$134,""))+SUM(IF(T34:T134="pppp",$Q$41:$Q$134,""))</f>
        <v>0</v>
      </c>
      <c r="U158" s="54">
        <f t="array" ref="U158">SUM(IF(U41:U134="aaaa",$Q$41:$Q$134,""))+SUM(IF(U41:U134="bbbb",$Q$41:$Q$134,""))+SUM(IF(U41:U134="cccc",$Q$41:$Q$134,""))+SUM(IF(U41:U134="dddd",$Q$41:$Q$134,""))+SUM(IF(U41:U134="eeee",$Q$41:$Q$134,""))+SUM(IF(U41:U134="ffff",$Q$41:$Q$134,""))+SUM(IF(U41:U134="gggg",$Q$41:$Q$134,""))+SUM(IF(U41:U134="hhhh",$Q$41:$Q$134,""))+SUM(IF(U41:U134="iiii",$Q$41:$Q$134,""))+SUM(IF(U41:U134="jjjj",$Q$41:$Q$134,""))+SUM(IF(U41:U134="kkkk",$Q$41:$Q$134,""))+SUM(IF(U34:U134="llll",$Q$41:$Q$134,""))+SUM(IF(U34:U134="mmmm",$Q$41:$Q$134,""))+SUM(IF(U34:U134="nnnn",$Q$41:$Q$134,""))+SUM(IF(U34:U134="oooo",$Q$41:$Q$134,""))+SUM(IF(U34:U134="pppp",$Q$41:$Q$134,""))</f>
        <v>0</v>
      </c>
      <c r="V158" s="54">
        <f t="array" ref="V158">SUM(IF(V41:V134="aaaa",$Q$41:$Q$134,""))+SUM(IF(V41:V134="bbbb",$Q$41:$Q$134,""))+SUM(IF(V41:V134="cccc",$Q$41:$Q$134,""))+SUM(IF(V41:V134="dddd",$Q$41:$Q$134,""))+SUM(IF(V41:V134="eeee",$Q$41:$Q$134,""))+SUM(IF(V41:V134="ffff",$Q$41:$Q$134,""))+SUM(IF(V41:V134="gggg",$Q$41:$Q$134,""))+SUM(IF(V41:V134="hhhh",$Q$41:$Q$134,""))+SUM(IF(V41:V134="iiii",$Q$41:$Q$134,""))+SUM(IF(V41:V134="jjjj",$Q$41:$Q$134,""))+SUM(IF(V41:V134="kkkk",$Q$41:$Q$134,""))+SUM(IF(V34:V134="llll",$Q$41:$Q$134,""))+SUM(IF(V34:V134="mmmm",$Q$41:$Q$134,""))+SUM(IF(V34:V134="nnnn",$Q$41:$Q$134,""))+SUM(IF(V34:V134="oooo",$Q$41:$Q$134,""))+SUM(IF(V34:V134="pppp",$Q$41:$Q$134,""))</f>
        <v>0</v>
      </c>
      <c r="W158" s="54">
        <f t="array" ref="W158">SUM(IF(W41:W134="aaaa",$Q$41:$Q$134,""))+SUM(IF(W41:W134="bbbb",$Q$41:$Q$134,""))+SUM(IF(W41:W134="cccc",$Q$41:$Q$134,""))+SUM(IF(W41:W134="dddd",$Q$41:$Q$134,""))+SUM(IF(W41:W134="eeee",$Q$41:$Q$134,""))+SUM(IF(W41:W134="ffff",$Q$41:$Q$134,""))+SUM(IF(W41:W134="gggg",$Q$41:$Q$134,""))+SUM(IF(W41:W134="hhhh",$Q$41:$Q$134,""))+SUM(IF(W41:W134="iiii",$Q$41:$Q$134,""))+SUM(IF(W41:W134="jjjj",$Q$41:$Q$134,""))+SUM(IF(W41:W134="kkkk",$Q$41:$Q$134,""))+SUM(IF(W34:W134="llll",$Q$41:$Q$134,""))+SUM(IF(W34:W134="mmmm",$Q$41:$Q$134,""))+SUM(IF(W34:W134="nnnn",$Q$41:$Q$134,""))+SUM(IF(W34:W134="oooo",$Q$41:$Q$134,""))+SUM(IF(W34:W134="pppp",$Q$41:$Q$134,""))</f>
        <v>0</v>
      </c>
      <c r="X158" t="s">
        <v>810</v>
      </c>
      <c r="Y158" s="95"/>
      <c r="Z158" s="95"/>
    </row>
    <row r="159" spans="19:26" ht="20.25" hidden="1" customHeight="1" x14ac:dyDescent="0.15">
      <c r="S159" s="111">
        <f>SUM(S155:S158)</f>
        <v>0</v>
      </c>
      <c r="T159" s="111">
        <f>SUM(T155:T158)</f>
        <v>0</v>
      </c>
      <c r="U159" s="111">
        <f>SUM(U155:U158)</f>
        <v>0</v>
      </c>
      <c r="V159" s="111">
        <f>SUM(V155:V158)</f>
        <v>0</v>
      </c>
      <c r="W159" s="111">
        <f>SUM(W155:W158)</f>
        <v>0</v>
      </c>
      <c r="X159" s="2" t="s">
        <v>261</v>
      </c>
      <c r="Y159" s="29"/>
      <c r="Z159" s="29"/>
    </row>
    <row r="160" spans="19:26" ht="20.25" hidden="1" customHeight="1" x14ac:dyDescent="0.15">
      <c r="X160" s="2"/>
      <c r="Y160" s="29"/>
      <c r="Z160" s="29"/>
    </row>
    <row r="161" spans="19:26" ht="20.25" hidden="1" customHeight="1" x14ac:dyDescent="0.15">
      <c r="S161" s="73">
        <f>IF($K6="障子",S153,IF($K6="外付けブラインド",S159,S147))</f>
        <v>0</v>
      </c>
      <c r="T161" s="73">
        <f>IF($K7="障子",T153,IF($K7="外付けブラインド",T159,T147))</f>
        <v>0</v>
      </c>
      <c r="U161" s="73">
        <f>IF($K8="障子",U153,IF($K8="外付けブラインド",U159,U147))</f>
        <v>0</v>
      </c>
      <c r="V161" s="73">
        <f>IF($K9="障子",V153,IF($K9="外付けブラインド",V159,V147))</f>
        <v>0</v>
      </c>
      <c r="W161" s="73">
        <f>IF($K10="障子",W153,IF($K10="外付けブラインド",W159,W147))</f>
        <v>0</v>
      </c>
      <c r="X161" s="2" t="s">
        <v>262</v>
      </c>
      <c r="Y161" s="112"/>
      <c r="Z161" s="112"/>
    </row>
    <row r="162" spans="19:26" ht="19.5" hidden="1" customHeight="1" x14ac:dyDescent="0.15">
      <c r="S162" s="30" t="s">
        <v>265</v>
      </c>
      <c r="T162" s="30" t="s">
        <v>116</v>
      </c>
      <c r="U162" s="30" t="s">
        <v>117</v>
      </c>
      <c r="V162" s="30" t="s">
        <v>118</v>
      </c>
      <c r="W162" s="30" t="s">
        <v>119</v>
      </c>
    </row>
  </sheetData>
  <sheetProtection algorithmName="SHA-512" hashValue="3Ptn4c4JeqvU+9vwjib7r5IEQzy2sVtEnQGkPnbCjwAJaksHmTI+FrBYgwYUjCFsr0cQlPlD5Kahk0p58KpoEA==" saltValue="zuzopmocb+9rCpTthSKkdg==" spinCount="100000" sheet="1" objects="1" scenarios="1" selectLockedCells="1"/>
  <mergeCells count="165">
    <mergeCell ref="A21:B21"/>
    <mergeCell ref="C24:D24"/>
    <mergeCell ref="I23:J23"/>
    <mergeCell ref="A22:B22"/>
    <mergeCell ref="A17:B17"/>
    <mergeCell ref="A16:B16"/>
    <mergeCell ref="A18:B18"/>
    <mergeCell ref="C18:D18"/>
    <mergeCell ref="E18:F18"/>
    <mergeCell ref="C16:D16"/>
    <mergeCell ref="C17:D17"/>
    <mergeCell ref="A19:B19"/>
    <mergeCell ref="A20:B20"/>
    <mergeCell ref="G16:H16"/>
    <mergeCell ref="G20:H20"/>
    <mergeCell ref="G18:H18"/>
    <mergeCell ref="E20:F20"/>
    <mergeCell ref="C20:D20"/>
    <mergeCell ref="E17:F17"/>
    <mergeCell ref="G17:H17"/>
    <mergeCell ref="Q18:R18"/>
    <mergeCell ref="Q20:R20"/>
    <mergeCell ref="O19:P19"/>
    <mergeCell ref="Q17:R17"/>
    <mergeCell ref="I17:J17"/>
    <mergeCell ref="O18:P18"/>
    <mergeCell ref="I20:J20"/>
    <mergeCell ref="K17:L17"/>
    <mergeCell ref="M19:N19"/>
    <mergeCell ref="O17:P17"/>
    <mergeCell ref="M17:N17"/>
    <mergeCell ref="O20:P20"/>
    <mergeCell ref="I18:J18"/>
    <mergeCell ref="I19:J19"/>
    <mergeCell ref="Q16:R16"/>
    <mergeCell ref="M16:N16"/>
    <mergeCell ref="Q11:R11"/>
    <mergeCell ref="M14:N15"/>
    <mergeCell ref="O14:P15"/>
    <mergeCell ref="Q14:R15"/>
    <mergeCell ref="M10:N10"/>
    <mergeCell ref="O10:P10"/>
    <mergeCell ref="M11:N11"/>
    <mergeCell ref="O16:P16"/>
    <mergeCell ref="O11:P11"/>
    <mergeCell ref="K14:L15"/>
    <mergeCell ref="Q4:R5"/>
    <mergeCell ref="A10:B10"/>
    <mergeCell ref="C10:D10"/>
    <mergeCell ref="E10:F10"/>
    <mergeCell ref="C9:D9"/>
    <mergeCell ref="E9:F9"/>
    <mergeCell ref="K9:L9"/>
    <mergeCell ref="Q8:R8"/>
    <mergeCell ref="O8:P8"/>
    <mergeCell ref="Q9:R9"/>
    <mergeCell ref="O9:P9"/>
    <mergeCell ref="M9:N9"/>
    <mergeCell ref="M6:N6"/>
    <mergeCell ref="A8:B8"/>
    <mergeCell ref="Q7:R7"/>
    <mergeCell ref="O7:P7"/>
    <mergeCell ref="O6:P6"/>
    <mergeCell ref="Q6:R6"/>
    <mergeCell ref="G8:H8"/>
    <mergeCell ref="K8:L8"/>
    <mergeCell ref="M8:N8"/>
    <mergeCell ref="Q10:R10"/>
    <mergeCell ref="K4:L5"/>
    <mergeCell ref="C7:D7"/>
    <mergeCell ref="K7:L7"/>
    <mergeCell ref="G9:H9"/>
    <mergeCell ref="C5:D5"/>
    <mergeCell ref="E5:F5"/>
    <mergeCell ref="C6:D6"/>
    <mergeCell ref="E6:F6"/>
    <mergeCell ref="M4:N5"/>
    <mergeCell ref="O4:P5"/>
    <mergeCell ref="K16:L16"/>
    <mergeCell ref="A4:B5"/>
    <mergeCell ref="C4:F4"/>
    <mergeCell ref="A9:B9"/>
    <mergeCell ref="A7:B7"/>
    <mergeCell ref="A6:B6"/>
    <mergeCell ref="I4:J5"/>
    <mergeCell ref="I8:J8"/>
    <mergeCell ref="I7:J7"/>
    <mergeCell ref="I6:J6"/>
    <mergeCell ref="G4:H5"/>
    <mergeCell ref="C8:D8"/>
    <mergeCell ref="E8:F8"/>
    <mergeCell ref="E7:F7"/>
    <mergeCell ref="G7:H7"/>
    <mergeCell ref="G6:H6"/>
    <mergeCell ref="K6:L6"/>
    <mergeCell ref="I9:J9"/>
    <mergeCell ref="E16:F16"/>
    <mergeCell ref="E14:F15"/>
    <mergeCell ref="I16:J16"/>
    <mergeCell ref="K10:L10"/>
    <mergeCell ref="A11:L11"/>
    <mergeCell ref="C14:D15"/>
    <mergeCell ref="C32:F32"/>
    <mergeCell ref="C33:F33"/>
    <mergeCell ref="H30:I30"/>
    <mergeCell ref="L30:M30"/>
    <mergeCell ref="M7:N7"/>
    <mergeCell ref="P30:Q30"/>
    <mergeCell ref="Q25:R25"/>
    <mergeCell ref="A25:L25"/>
    <mergeCell ref="C31:F31"/>
    <mergeCell ref="A30:B33"/>
    <mergeCell ref="C30:F30"/>
    <mergeCell ref="M25:N25"/>
    <mergeCell ref="A24:B24"/>
    <mergeCell ref="A23:B23"/>
    <mergeCell ref="E24:F24"/>
    <mergeCell ref="Q22:R22"/>
    <mergeCell ref="Q24:R24"/>
    <mergeCell ref="G22:H22"/>
    <mergeCell ref="O23:P23"/>
    <mergeCell ref="O24:P24"/>
    <mergeCell ref="Q23:R23"/>
    <mergeCell ref="M23:N23"/>
    <mergeCell ref="M22:N22"/>
    <mergeCell ref="O22:P22"/>
    <mergeCell ref="K24:L24"/>
    <mergeCell ref="G24:H24"/>
    <mergeCell ref="G23:H23"/>
    <mergeCell ref="I24:J24"/>
    <mergeCell ref="M24:N24"/>
    <mergeCell ref="O21:P21"/>
    <mergeCell ref="K21:L21"/>
    <mergeCell ref="C21:D21"/>
    <mergeCell ref="E21:F21"/>
    <mergeCell ref="G21:H21"/>
    <mergeCell ref="I21:J21"/>
    <mergeCell ref="I22:J22"/>
    <mergeCell ref="K22:L22"/>
    <mergeCell ref="E22:F22"/>
    <mergeCell ref="M21:N21"/>
    <mergeCell ref="A1:R1"/>
    <mergeCell ref="O31:Q31"/>
    <mergeCell ref="O32:Q32"/>
    <mergeCell ref="O33:Q33"/>
    <mergeCell ref="O25:P25"/>
    <mergeCell ref="I10:J10"/>
    <mergeCell ref="A14:B15"/>
    <mergeCell ref="G14:H15"/>
    <mergeCell ref="C23:D23"/>
    <mergeCell ref="E23:F23"/>
    <mergeCell ref="C19:D19"/>
    <mergeCell ref="E19:F19"/>
    <mergeCell ref="G19:H19"/>
    <mergeCell ref="G10:H10"/>
    <mergeCell ref="K23:L23"/>
    <mergeCell ref="C22:D22"/>
    <mergeCell ref="K18:L18"/>
    <mergeCell ref="K20:L20"/>
    <mergeCell ref="I14:J15"/>
    <mergeCell ref="K19:L19"/>
    <mergeCell ref="Q21:R21"/>
    <mergeCell ref="Q19:R19"/>
    <mergeCell ref="M20:N20"/>
    <mergeCell ref="M18:N18"/>
  </mergeCells>
  <phoneticPr fontId="2"/>
  <conditionalFormatting sqref="M11:N11">
    <cfRule type="expression" dxfId="14" priority="21" stopIfTrue="1">
      <formula>$M$11=0</formula>
    </cfRule>
  </conditionalFormatting>
  <conditionalFormatting sqref="M25:N25">
    <cfRule type="expression" dxfId="13" priority="17" stopIfTrue="1">
      <formula>$M$25=0</formula>
    </cfRule>
  </conditionalFormatting>
  <conditionalFormatting sqref="O25:P25">
    <cfRule type="expression" dxfId="12" priority="16" stopIfTrue="1">
      <formula>$O$25=0</formula>
    </cfRule>
  </conditionalFormatting>
  <conditionalFormatting sqref="Q25:R25">
    <cfRule type="expression" dxfId="11" priority="15" stopIfTrue="1">
      <formula>$Q$25=0</formula>
    </cfRule>
  </conditionalFormatting>
  <conditionalFormatting sqref="O11:P11">
    <cfRule type="expression" dxfId="10" priority="6" stopIfTrue="1">
      <formula>$O$11=0</formula>
    </cfRule>
  </conditionalFormatting>
  <conditionalFormatting sqref="Q11:R11">
    <cfRule type="expression" dxfId="9" priority="5" stopIfTrue="1">
      <formula>$Q$11=0</formula>
    </cfRule>
  </conditionalFormatting>
  <conditionalFormatting sqref="H30:I30">
    <cfRule type="expression" dxfId="8" priority="4" stopIfTrue="1">
      <formula>$H$30=0</formula>
    </cfRule>
  </conditionalFormatting>
  <conditionalFormatting sqref="L30:M30">
    <cfRule type="expression" dxfId="7" priority="3" stopIfTrue="1">
      <formula>$L$30=0</formula>
    </cfRule>
  </conditionalFormatting>
  <conditionalFormatting sqref="P30:Q30">
    <cfRule type="expression" dxfId="6" priority="2" stopIfTrue="1">
      <formula>$P$30=0</formula>
    </cfRule>
  </conditionalFormatting>
  <conditionalFormatting sqref="U30:V30">
    <cfRule type="expression" dxfId="5" priority="1" stopIfTrue="1">
      <formula>$U$30=0</formula>
    </cfRule>
  </conditionalFormatting>
  <conditionalFormatting sqref="U31:V31 O31">
    <cfRule type="expression" dxfId="4" priority="27" stopIfTrue="1">
      <formula>$O$31=0</formula>
    </cfRule>
  </conditionalFormatting>
  <conditionalFormatting sqref="U32:V32 O32">
    <cfRule type="expression" dxfId="3" priority="29" stopIfTrue="1">
      <formula>$O$32=0</formula>
    </cfRule>
  </conditionalFormatting>
  <conditionalFormatting sqref="U33:V33 O33">
    <cfRule type="expression" dxfId="2" priority="31" stopIfTrue="1">
      <formula>$O$33=0</formula>
    </cfRule>
  </conditionalFormatting>
  <dataValidations count="5">
    <dataValidation type="list" allowBlank="1" showInputMessage="1" showErrorMessage="1" sqref="C22:D24" xr:uid="{00000000-0002-0000-0C00-000000000000}">
      <formula1>"　,外気床,その他床"</formula1>
    </dataValidation>
    <dataValidation type="list" allowBlank="1" showInputMessage="1" showErrorMessage="1" sqref="K6:L10" xr:uid="{00000000-0002-0000-0C00-000001000000}">
      <formula1>"　,雨戸,ｼｬｯﾀｰ,障子,外付けブラインド"</formula1>
    </dataValidation>
    <dataValidation type="list" allowBlank="1" showInputMessage="1" showErrorMessage="1" sqref="A16:B24" xr:uid="{00000000-0002-0000-0C00-000002000000}">
      <formula1>"R-1,R-2,R-3,C-1,C-2,C-3,F-1,F-2,F-3,AF-1,AF-2,AF-3"</formula1>
    </dataValidation>
    <dataValidation type="list" allowBlank="1" showInputMessage="1" showErrorMessage="1" sqref="G6:H10" xr:uid="{00000000-0002-0000-0C00-000003000000}">
      <formula1>建具の仕様_屋根床</formula1>
    </dataValidation>
    <dataValidation type="list" allowBlank="1" showInputMessage="1" showErrorMessage="1" sqref="I6:J10" xr:uid="{00000000-0002-0000-0C00-000004000000}">
      <formula1>INDIRECT(G6)</formula1>
    </dataValidation>
  </dataValidations>
  <pageMargins left="0.59055118110236227" right="0.39370078740157483" top="0.98425196850393704" bottom="0.78740157480314965" header="0.31496062992125984" footer="0.39370078740157483"/>
  <pageSetup paperSize="9" scale="97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3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148"/>
  <sheetViews>
    <sheetView view="pageBreakPreview" zoomScale="115" zoomScaleNormal="100" zoomScaleSheetLayoutView="115" workbookViewId="0">
      <selection activeCell="A6" sqref="A6:B6"/>
    </sheetView>
  </sheetViews>
  <sheetFormatPr defaultRowHeight="13.5" x14ac:dyDescent="0.15"/>
  <cols>
    <col min="1" max="2" width="4.125" customWidth="1"/>
    <col min="3" max="28" width="3.625" customWidth="1"/>
    <col min="29" max="29" width="3.75" customWidth="1"/>
    <col min="30" max="30" width="10.375" hidden="1" customWidth="1"/>
    <col min="31" max="31" width="3.375" hidden="1" customWidth="1"/>
    <col min="32" max="32" width="14.375" hidden="1" customWidth="1"/>
    <col min="33" max="33" width="6" hidden="1" customWidth="1"/>
    <col min="34" max="34" width="13.875" hidden="1" customWidth="1"/>
    <col min="35" max="36" width="8.25" hidden="1" customWidth="1"/>
    <col min="37" max="52" width="3.625" customWidth="1"/>
  </cols>
  <sheetData>
    <row r="1" spans="1:36" ht="30" customHeight="1" x14ac:dyDescent="0.15">
      <c r="A1" s="492" t="s">
        <v>50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</row>
    <row r="2" spans="1:36" s="3" customFormat="1" ht="20.100000000000001" customHeight="1" x14ac:dyDescent="0.15"/>
    <row r="3" spans="1:36" s="3" customFormat="1" ht="20.100000000000001" customHeight="1" thickBot="1" x14ac:dyDescent="0.2">
      <c r="A3" s="4" t="s">
        <v>388</v>
      </c>
      <c r="B3" s="2"/>
      <c r="C3" s="2"/>
      <c r="D3" s="2"/>
      <c r="E3" s="2"/>
      <c r="F3" s="2"/>
      <c r="G3" s="2"/>
      <c r="H3" s="2"/>
    </row>
    <row r="4" spans="1:36" s="3" customFormat="1" ht="20.100000000000001" customHeight="1" x14ac:dyDescent="0.15">
      <c r="A4" s="555" t="s">
        <v>34</v>
      </c>
      <c r="B4" s="556"/>
      <c r="C4" s="381" t="s">
        <v>35</v>
      </c>
      <c r="D4" s="381"/>
      <c r="E4" s="381"/>
      <c r="F4" s="252"/>
      <c r="G4" s="644" t="s">
        <v>57</v>
      </c>
      <c r="H4" s="735"/>
    </row>
    <row r="5" spans="1:36" s="3" customFormat="1" ht="20.100000000000001" customHeight="1" thickBot="1" x14ac:dyDescent="0.2">
      <c r="A5" s="557"/>
      <c r="B5" s="558"/>
      <c r="C5" s="382"/>
      <c r="D5" s="382"/>
      <c r="E5" s="382"/>
      <c r="F5" s="706"/>
      <c r="G5" s="645"/>
      <c r="H5" s="736"/>
    </row>
    <row r="6" spans="1:36" s="3" customFormat="1" ht="20.100000000000001" customHeight="1" x14ac:dyDescent="0.15">
      <c r="A6" s="737"/>
      <c r="B6" s="738"/>
      <c r="C6" s="728"/>
      <c r="D6" s="728"/>
      <c r="E6" s="728"/>
      <c r="F6" s="728"/>
      <c r="G6" s="739"/>
      <c r="H6" s="740"/>
    </row>
    <row r="7" spans="1:36" s="3" customFormat="1" ht="20.100000000000001" customHeight="1" x14ac:dyDescent="0.15">
      <c r="A7" s="726"/>
      <c r="B7" s="727"/>
      <c r="C7" s="728"/>
      <c r="D7" s="728"/>
      <c r="E7" s="728"/>
      <c r="F7" s="728"/>
      <c r="G7" s="729"/>
      <c r="H7" s="730"/>
    </row>
    <row r="8" spans="1:36" s="3" customFormat="1" ht="20.100000000000001" customHeight="1" x14ac:dyDescent="0.15">
      <c r="A8" s="726"/>
      <c r="B8" s="727"/>
      <c r="C8" s="728"/>
      <c r="D8" s="728"/>
      <c r="E8" s="728"/>
      <c r="F8" s="728"/>
      <c r="G8" s="729"/>
      <c r="H8" s="730"/>
    </row>
    <row r="9" spans="1:36" s="3" customFormat="1" ht="20.100000000000001" customHeight="1" x14ac:dyDescent="0.15">
      <c r="A9" s="726"/>
      <c r="B9" s="727"/>
      <c r="C9" s="728"/>
      <c r="D9" s="728"/>
      <c r="E9" s="728"/>
      <c r="F9" s="728"/>
      <c r="G9" s="729"/>
      <c r="H9" s="730"/>
    </row>
    <row r="10" spans="1:36" s="3" customFormat="1" ht="20.100000000000001" customHeight="1" thickBot="1" x14ac:dyDescent="0.2">
      <c r="A10" s="731"/>
      <c r="B10" s="732"/>
      <c r="C10" s="732"/>
      <c r="D10" s="732"/>
      <c r="E10" s="732"/>
      <c r="F10" s="732"/>
      <c r="G10" s="733"/>
      <c r="H10" s="734"/>
    </row>
    <row r="11" spans="1:36" s="3" customFormat="1" ht="20.100000000000001" customHeight="1" thickBot="1" x14ac:dyDescent="0.2">
      <c r="A11" s="724" t="s">
        <v>62</v>
      </c>
      <c r="B11" s="725"/>
      <c r="C11" s="725"/>
      <c r="D11" s="725"/>
      <c r="E11" s="725"/>
      <c r="F11" s="725"/>
      <c r="G11" s="600">
        <f>SUM(G6:H10)</f>
        <v>0</v>
      </c>
      <c r="H11" s="601"/>
    </row>
    <row r="12" spans="1:36" s="3" customFormat="1" ht="20.100000000000001" customHeight="1" x14ac:dyDescent="0.15">
      <c r="A12" s="2" t="s">
        <v>389</v>
      </c>
      <c r="B12" s="142"/>
      <c r="C12" s="142"/>
      <c r="D12" s="142"/>
      <c r="E12" s="142"/>
      <c r="F12" s="142"/>
      <c r="G12" s="143"/>
      <c r="H12" s="143"/>
    </row>
    <row r="13" spans="1:36" s="3" customFormat="1" ht="20.100000000000001" customHeight="1" x14ac:dyDescent="0.15">
      <c r="A13" s="2" t="s">
        <v>88</v>
      </c>
      <c r="B13" s="142"/>
      <c r="C13" s="142"/>
      <c r="D13" s="142"/>
      <c r="E13" s="142"/>
      <c r="F13" s="142"/>
      <c r="G13" s="143"/>
      <c r="H13" s="143"/>
    </row>
    <row r="14" spans="1:36" s="3" customFormat="1" ht="20.100000000000001" customHeight="1" x14ac:dyDescent="0.15">
      <c r="A14" s="142"/>
      <c r="B14" s="142"/>
      <c r="C14" s="142"/>
      <c r="D14" s="142"/>
      <c r="E14" s="142"/>
      <c r="F14" s="142"/>
      <c r="G14" s="143"/>
      <c r="H14" s="143"/>
    </row>
    <row r="15" spans="1:36" s="3" customFormat="1" ht="20.100000000000001" customHeight="1" thickBot="1" x14ac:dyDescent="0.2">
      <c r="A15" s="4" t="s">
        <v>390</v>
      </c>
    </row>
    <row r="16" spans="1:36" s="3" customFormat="1" ht="20.100000000000001" customHeight="1" x14ac:dyDescent="0.15">
      <c r="A16" s="500" t="s">
        <v>34</v>
      </c>
      <c r="B16" s="381"/>
      <c r="C16" s="381" t="s">
        <v>35</v>
      </c>
      <c r="D16" s="381"/>
      <c r="E16" s="381"/>
      <c r="F16" s="381"/>
      <c r="G16" s="703" t="s">
        <v>36</v>
      </c>
      <c r="H16" s="704"/>
      <c r="I16" s="703" t="s">
        <v>37</v>
      </c>
      <c r="J16" s="704"/>
      <c r="K16" s="703" t="s">
        <v>38</v>
      </c>
      <c r="L16" s="704"/>
      <c r="M16" s="703" t="s">
        <v>39</v>
      </c>
      <c r="N16" s="704"/>
      <c r="O16" s="703" t="s">
        <v>40</v>
      </c>
      <c r="P16" s="703"/>
      <c r="Q16" s="703" t="s">
        <v>41</v>
      </c>
      <c r="R16" s="703"/>
      <c r="S16" s="703" t="s">
        <v>42</v>
      </c>
      <c r="T16" s="704"/>
      <c r="U16" s="703" t="s">
        <v>43</v>
      </c>
      <c r="V16" s="704"/>
      <c r="W16" s="703" t="s">
        <v>44</v>
      </c>
      <c r="X16" s="704"/>
      <c r="Y16" s="703" t="s">
        <v>45</v>
      </c>
      <c r="Z16" s="704"/>
      <c r="AA16" s="381" t="s">
        <v>7</v>
      </c>
      <c r="AB16" s="390"/>
      <c r="AF16" s="715" t="s">
        <v>7</v>
      </c>
      <c r="AG16" s="715"/>
      <c r="AH16" s="715"/>
      <c r="AI16" s="715"/>
      <c r="AJ16" s="715"/>
    </row>
    <row r="17" spans="1:36" s="3" customFormat="1" ht="20.100000000000001" customHeight="1" thickBot="1" x14ac:dyDescent="0.2">
      <c r="A17" s="502"/>
      <c r="B17" s="382"/>
      <c r="C17" s="382"/>
      <c r="D17" s="382"/>
      <c r="E17" s="382"/>
      <c r="F17" s="382"/>
      <c r="G17" s="705"/>
      <c r="H17" s="705"/>
      <c r="I17" s="705"/>
      <c r="J17" s="705"/>
      <c r="K17" s="705"/>
      <c r="L17" s="705"/>
      <c r="M17" s="705"/>
      <c r="N17" s="705"/>
      <c r="O17" s="720"/>
      <c r="P17" s="720"/>
      <c r="Q17" s="720"/>
      <c r="R17" s="720"/>
      <c r="S17" s="705"/>
      <c r="T17" s="705"/>
      <c r="U17" s="705"/>
      <c r="V17" s="705"/>
      <c r="W17" s="705"/>
      <c r="X17" s="705"/>
      <c r="Y17" s="705"/>
      <c r="Z17" s="705"/>
      <c r="AA17" s="382"/>
      <c r="AB17" s="391"/>
      <c r="AD17" s="31" t="s">
        <v>74</v>
      </c>
      <c r="AF17" s="242" t="s">
        <v>862</v>
      </c>
      <c r="AG17" s="241" t="s">
        <v>391</v>
      </c>
      <c r="AH17" s="242" t="s">
        <v>863</v>
      </c>
      <c r="AI17" s="242" t="s">
        <v>864</v>
      </c>
      <c r="AJ17" s="242" t="s">
        <v>865</v>
      </c>
    </row>
    <row r="18" spans="1:36" s="2" customFormat="1" ht="20.100000000000001" customHeight="1" x14ac:dyDescent="0.15">
      <c r="A18" s="716" t="str">
        <f>IF(A6="","",A6)</f>
        <v/>
      </c>
      <c r="B18" s="717"/>
      <c r="C18" s="718" t="str">
        <f>IF(C6="","",C6)</f>
        <v/>
      </c>
      <c r="D18" s="718"/>
      <c r="E18" s="718"/>
      <c r="F18" s="718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23" t="str">
        <f>IF(Q18="","",IF(-1&lt;=Q18,"(11)",IF(G18+M18&gt;=3,"(13）1","(13）2")))</f>
        <v/>
      </c>
      <c r="Z18" s="723"/>
      <c r="AA18" s="721" t="str">
        <f>IF(Q18="","",IF(IF(Y18="(11)",AF18,AH18)&lt;0.05,"0.05",IF(Y18="(11)",AF18,AH18)))</f>
        <v/>
      </c>
      <c r="AB18" s="722"/>
      <c r="AD18" s="2">
        <f>IF(O18&gt;0.4,"0.4",O18)</f>
        <v>0</v>
      </c>
      <c r="AF18" s="2">
        <f>1.8-1.36*(G18*(AD18+S18)+M18*(AD18-Q18))^0.15-0.01*(6.14-G18)*((I18+0.5*K18)*AG18)^0.5</f>
        <v>1.8</v>
      </c>
      <c r="AG18" s="2">
        <f>IF(MAX(U18,W18)&lt;=0.9,MAX(U18,W18),"0.9")</f>
        <v>0</v>
      </c>
      <c r="AH18" s="2">
        <f>IF((G18+M18)&gt;=3,AI18,AJ18)</f>
        <v>1.8</v>
      </c>
      <c r="AI18" s="2">
        <f>1.8-1.47*(G18+M18)^0.08</f>
        <v>1.8</v>
      </c>
      <c r="AJ18" s="2">
        <f>1.8-1.36*(G18+M18)^0.15</f>
        <v>1.8</v>
      </c>
    </row>
    <row r="19" spans="1:36" s="2" customFormat="1" ht="20.100000000000001" customHeight="1" x14ac:dyDescent="0.15">
      <c r="A19" s="712" t="str">
        <f>IF(A7="","",A7)</f>
        <v/>
      </c>
      <c r="B19" s="713"/>
      <c r="C19" s="714" t="str">
        <f>IF(C7="","",C7)</f>
        <v/>
      </c>
      <c r="D19" s="714"/>
      <c r="E19" s="714"/>
      <c r="F19" s="714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9" t="str">
        <f>IF(Q19="","",IF(-1&lt;=Q19,"(11)",IF(G19+M19&gt;=3,"(13）1","(13）2")))</f>
        <v/>
      </c>
      <c r="Z19" s="709"/>
      <c r="AA19" s="569" t="str">
        <f>IF(Q19="","",IF(IF(Y19="(11)",AF19,AH19)&lt;0.05,"0.05",IF(Y19="(11)",AF19,AH19)))</f>
        <v/>
      </c>
      <c r="AB19" s="570"/>
      <c r="AD19" s="2">
        <f>IF(O19&gt;0.4,"0.4",O19)</f>
        <v>0</v>
      </c>
      <c r="AF19" s="2">
        <f>1.8-1.36*(G19*(AD19+S19)+M19*(AD19-Q19))^0.15-0.01*(6.14-G19)*((I19+0.5*K19)*AG19)^0.5</f>
        <v>1.8</v>
      </c>
      <c r="AG19" s="2">
        <f>IF(MAX(U19,W19)&lt;=0.9,MAX(U19,W19),"0.9")</f>
        <v>0</v>
      </c>
      <c r="AH19" s="2">
        <f>IF((G19+M19)&gt;=3,AI19,AJ19)</f>
        <v>1.8</v>
      </c>
      <c r="AI19" s="2">
        <f>1.8-1.47*(G19+M19)^0.08</f>
        <v>1.8</v>
      </c>
      <c r="AJ19" s="2">
        <f>1.8-1.36*(G19+M19)^0.15</f>
        <v>1.8</v>
      </c>
    </row>
    <row r="20" spans="1:36" s="2" customFormat="1" ht="20.100000000000001" customHeight="1" x14ac:dyDescent="0.15">
      <c r="A20" s="712" t="str">
        <f>IF(A8="","",A8)</f>
        <v/>
      </c>
      <c r="B20" s="713"/>
      <c r="C20" s="714" t="str">
        <f>IF(C8="","",C8)</f>
        <v/>
      </c>
      <c r="D20" s="714"/>
      <c r="E20" s="714"/>
      <c r="F20" s="714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9" t="str">
        <f>IF(Q20="","",IF(-1&lt;=Q20,"(11)",IF(G20+M20&gt;=3,"(13）1","(13）2")))</f>
        <v/>
      </c>
      <c r="Z20" s="709"/>
      <c r="AA20" s="569" t="str">
        <f>IF(Q20="","",IF(IF(Y20="(11)",AF20,AH20)&lt;0.05,"0.05",IF(Y20="(11)",AF20,AH20)))</f>
        <v/>
      </c>
      <c r="AB20" s="570"/>
      <c r="AD20" s="2">
        <f>IF(O20&gt;0.4,"0.4",O20)</f>
        <v>0</v>
      </c>
      <c r="AF20" s="2">
        <f>1.8-1.36*(G20*(AD20+S20)+M20*(AD20-Q20))^0.15-0.01*(6.14-G20)*((I20+0.5*K20)*AG20)^0.5</f>
        <v>1.8</v>
      </c>
      <c r="AG20" s="2">
        <f>IF(MAX(U20,W20)&lt;=0.9,MAX(U20,W20),"0.9")</f>
        <v>0</v>
      </c>
      <c r="AH20" s="2">
        <f>IF((G20+M20)&gt;=3,AI20,AJ20)</f>
        <v>1.8</v>
      </c>
      <c r="AI20" s="2">
        <f>1.8-1.47*(G20+M20)^0.08</f>
        <v>1.8</v>
      </c>
      <c r="AJ20" s="2">
        <f>1.8-1.36*(G20+M20)^0.15</f>
        <v>1.8</v>
      </c>
    </row>
    <row r="21" spans="1:36" s="2" customFormat="1" ht="20.100000000000001" customHeight="1" x14ac:dyDescent="0.15">
      <c r="A21" s="712" t="str">
        <f>IF(A9="","",A9)</f>
        <v/>
      </c>
      <c r="B21" s="713"/>
      <c r="C21" s="714" t="str">
        <f>IF(C9="","",C9)</f>
        <v/>
      </c>
      <c r="D21" s="714"/>
      <c r="E21" s="714"/>
      <c r="F21" s="714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9" t="str">
        <f>IF(Q21="","",IF(-1&lt;=Q21,"(11)",IF(G21+M21&gt;=3,"(13）1","(13）2")))</f>
        <v/>
      </c>
      <c r="Z21" s="709"/>
      <c r="AA21" s="569" t="str">
        <f>IF(Q21="","",IF(IF(Y21="(11)",AF21,AH21)&lt;0.05,"0.05",IF(Y21="(11)",AF21,AH21)))</f>
        <v/>
      </c>
      <c r="AB21" s="570"/>
      <c r="AD21" s="2">
        <f>IF(O21&gt;0.4,"0.4",O21)</f>
        <v>0</v>
      </c>
      <c r="AF21" s="2">
        <f>1.8-1.36*(G21*(AD21+S21)+M21*(AD21-Q21))^0.15-0.01*(6.14-G21)*((I21+0.5*K21)*AG21)^0.5</f>
        <v>1.8</v>
      </c>
      <c r="AG21" s="2">
        <f>IF(MAX(U21,W21)&lt;=0.9,MAX(U21,W21),"0.9")</f>
        <v>0</v>
      </c>
      <c r="AH21" s="2">
        <f>IF((G21+M21)&gt;=3,AI21,AJ21)</f>
        <v>1.8</v>
      </c>
      <c r="AI21" s="2">
        <f>1.8-1.47*(G21+M21)^0.08</f>
        <v>1.8</v>
      </c>
      <c r="AJ21" s="2">
        <f>1.8-1.36*(G21+M21)^0.15</f>
        <v>1.8</v>
      </c>
    </row>
    <row r="22" spans="1:36" s="2" customFormat="1" ht="20.100000000000001" customHeight="1" thickBot="1" x14ac:dyDescent="0.2">
      <c r="A22" s="689" t="str">
        <f>IF(A10="","",A10)</f>
        <v/>
      </c>
      <c r="B22" s="690"/>
      <c r="C22" s="691" t="str">
        <f>IF(C10="","",C10)</f>
        <v/>
      </c>
      <c r="D22" s="691"/>
      <c r="E22" s="691"/>
      <c r="F22" s="691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707" t="str">
        <f>IF(Q22="","",IF(-1&lt;=Q22,"(11)",IF(G22+M22&gt;=3,"(13）1","(13）2")))</f>
        <v/>
      </c>
      <c r="Z22" s="707"/>
      <c r="AA22" s="710" t="str">
        <f>IF(Q22="","",IF(IF(Y22="(11)",AF22,AH22)&lt;0.05,"0.05",IF(Y22="(11)",AF22,AH22)))</f>
        <v/>
      </c>
      <c r="AB22" s="711"/>
      <c r="AD22" s="2">
        <f>IF(O22&gt;0.4,"0.4",O22)</f>
        <v>0</v>
      </c>
      <c r="AF22" s="2">
        <f>1.8-1.36*(G22*(AD22+S22)+M22*(AD22-Q22))^0.15-0.01*(6.14-G22)*((I22+0.5*K22)*AG22)^0.5</f>
        <v>1.8</v>
      </c>
      <c r="AG22" s="2">
        <f>IF(MAX(U22,W22)&lt;=0.9,MAX(U22,W22),"0.9")</f>
        <v>0</v>
      </c>
      <c r="AH22" s="2">
        <f>IF((G22+M22)&gt;=3,AI22,AJ22)</f>
        <v>1.8</v>
      </c>
      <c r="AI22" s="2">
        <f>1.8-1.47*(G22+M22)^0.08</f>
        <v>1.8</v>
      </c>
      <c r="AJ22" s="2">
        <f>1.8-1.36*(G22+M22)^0.15</f>
        <v>1.8</v>
      </c>
    </row>
    <row r="23" spans="1:36" s="2" customFormat="1" ht="20.100000000000001" customHeight="1" x14ac:dyDescent="0.15">
      <c r="A23" s="2" t="s">
        <v>46</v>
      </c>
    </row>
    <row r="24" spans="1:36" s="2" customFormat="1" ht="20.100000000000001" customHeight="1" x14ac:dyDescent="0.15">
      <c r="A24" s="2" t="s">
        <v>398</v>
      </c>
    </row>
    <row r="25" spans="1:36" s="2" customFormat="1" ht="20.100000000000001" customHeight="1" x14ac:dyDescent="0.15"/>
    <row r="26" spans="1:36" s="2" customFormat="1" ht="20.100000000000001" customHeight="1" thickBot="1" x14ac:dyDescent="0.2">
      <c r="A26" s="4" t="s">
        <v>392</v>
      </c>
    </row>
    <row r="27" spans="1:36" s="2" customFormat="1" ht="20.100000000000001" customHeight="1" x14ac:dyDescent="0.15">
      <c r="A27" s="500" t="s">
        <v>34</v>
      </c>
      <c r="B27" s="381"/>
      <c r="C27" s="381" t="s">
        <v>35</v>
      </c>
      <c r="D27" s="381"/>
      <c r="E27" s="381"/>
      <c r="F27" s="381"/>
      <c r="G27" s="703" t="s">
        <v>47</v>
      </c>
      <c r="H27" s="704"/>
      <c r="I27" s="380" t="s">
        <v>48</v>
      </c>
      <c r="J27" s="252"/>
      <c r="K27" s="381" t="s">
        <v>13</v>
      </c>
      <c r="L27" s="390"/>
    </row>
    <row r="28" spans="1:36" s="2" customFormat="1" ht="20.100000000000001" customHeight="1" thickBot="1" x14ac:dyDescent="0.2">
      <c r="A28" s="502"/>
      <c r="B28" s="382"/>
      <c r="C28" s="382"/>
      <c r="D28" s="382"/>
      <c r="E28" s="382"/>
      <c r="F28" s="382"/>
      <c r="G28" s="705"/>
      <c r="H28" s="705"/>
      <c r="I28" s="382"/>
      <c r="J28" s="706"/>
      <c r="K28" s="382"/>
      <c r="L28" s="391"/>
    </row>
    <row r="29" spans="1:36" s="2" customFormat="1" ht="20.100000000000001" customHeight="1" x14ac:dyDescent="0.15">
      <c r="A29" s="695" t="str">
        <f>IF(A6="","",A6)</f>
        <v/>
      </c>
      <c r="B29" s="696"/>
      <c r="C29" s="697" t="str">
        <f>IF(C6="","",C6)</f>
        <v/>
      </c>
      <c r="D29" s="698"/>
      <c r="E29" s="698"/>
      <c r="F29" s="696"/>
      <c r="G29" s="699"/>
      <c r="H29" s="700"/>
      <c r="I29" s="701"/>
      <c r="J29" s="701"/>
      <c r="K29" s="652" t="str">
        <f>IF(G29="","",AA18*G29*I29)</f>
        <v/>
      </c>
      <c r="L29" s="702"/>
    </row>
    <row r="30" spans="1:36" s="2" customFormat="1" ht="20.100000000000001" customHeight="1" x14ac:dyDescent="0.15">
      <c r="A30" s="693" t="str">
        <f>IF(A7="","",A7)</f>
        <v/>
      </c>
      <c r="B30" s="694"/>
      <c r="C30" s="673" t="str">
        <f>IF(C7="","",C7)</f>
        <v/>
      </c>
      <c r="D30" s="674"/>
      <c r="E30" s="674"/>
      <c r="F30" s="672"/>
      <c r="G30" s="675"/>
      <c r="H30" s="676"/>
      <c r="I30" s="373"/>
      <c r="J30" s="373"/>
      <c r="K30" s="571" t="str">
        <f>IF(G30="","",AA19*G30*I30)</f>
        <v/>
      </c>
      <c r="L30" s="620"/>
    </row>
    <row r="31" spans="1:36" s="2" customFormat="1" ht="20.100000000000001" customHeight="1" x14ac:dyDescent="0.15">
      <c r="A31" s="671" t="str">
        <f>IF(A8="","",A8)</f>
        <v/>
      </c>
      <c r="B31" s="672"/>
      <c r="C31" s="673" t="str">
        <f>IF(C8="","",C8)</f>
        <v/>
      </c>
      <c r="D31" s="674"/>
      <c r="E31" s="674"/>
      <c r="F31" s="672"/>
      <c r="G31" s="675"/>
      <c r="H31" s="676"/>
      <c r="I31" s="373"/>
      <c r="J31" s="373"/>
      <c r="K31" s="571" t="str">
        <f>IF(G31="","",AA20*G31*I31)</f>
        <v/>
      </c>
      <c r="L31" s="620"/>
    </row>
    <row r="32" spans="1:36" s="2" customFormat="1" ht="20.100000000000001" customHeight="1" x14ac:dyDescent="0.15">
      <c r="A32" s="671" t="str">
        <f>IF(A9="","",A9)</f>
        <v/>
      </c>
      <c r="B32" s="672"/>
      <c r="C32" s="673" t="str">
        <f>IF(C9="","",C9)</f>
        <v/>
      </c>
      <c r="D32" s="674"/>
      <c r="E32" s="674"/>
      <c r="F32" s="672"/>
      <c r="G32" s="675"/>
      <c r="H32" s="676"/>
      <c r="I32" s="373"/>
      <c r="J32" s="373"/>
      <c r="K32" s="571" t="str">
        <f>IF(G32="","",AA21*G32*I32)</f>
        <v/>
      </c>
      <c r="L32" s="620"/>
    </row>
    <row r="33" spans="1:24" s="2" customFormat="1" ht="20.100000000000001" customHeight="1" thickBot="1" x14ac:dyDescent="0.2">
      <c r="A33" s="680" t="str">
        <f>IF(A10="","",A10)</f>
        <v/>
      </c>
      <c r="B33" s="681"/>
      <c r="C33" s="682" t="str">
        <f>IF(C10="","",C10)</f>
        <v/>
      </c>
      <c r="D33" s="683"/>
      <c r="E33" s="683"/>
      <c r="F33" s="681"/>
      <c r="G33" s="684"/>
      <c r="H33" s="685"/>
      <c r="I33" s="686"/>
      <c r="J33" s="687"/>
      <c r="K33" s="618" t="str">
        <f>IF(G33="","",AA22*G33*I33)</f>
        <v/>
      </c>
      <c r="L33" s="688"/>
    </row>
    <row r="34" spans="1:24" s="2" customFormat="1" ht="20.100000000000001" customHeight="1" thickBot="1" x14ac:dyDescent="0.2">
      <c r="A34" s="677" t="s">
        <v>84</v>
      </c>
      <c r="B34" s="678"/>
      <c r="C34" s="678"/>
      <c r="D34" s="678"/>
      <c r="E34" s="678"/>
      <c r="F34" s="678"/>
      <c r="G34" s="678"/>
      <c r="H34" s="678"/>
      <c r="I34" s="678"/>
      <c r="J34" s="678"/>
      <c r="K34" s="551">
        <f>SUM(K29:L33)</f>
        <v>0</v>
      </c>
      <c r="L34" s="679"/>
    </row>
    <row r="35" spans="1:24" s="2" customFormat="1" ht="20.100000000000001" customHeight="1" x14ac:dyDescent="0.15"/>
    <row r="36" spans="1:24" s="2" customFormat="1" ht="20.100000000000001" customHeight="1" x14ac:dyDescent="0.15"/>
    <row r="37" spans="1:24" s="3" customFormat="1" ht="20.100000000000001" customHeight="1" x14ac:dyDescent="0.15"/>
    <row r="38" spans="1:24" s="3" customFormat="1" ht="20.100000000000001" customHeight="1" x14ac:dyDescent="0.15">
      <c r="X38" s="2"/>
    </row>
    <row r="39" spans="1:24" s="3" customFormat="1" ht="20.100000000000001" customHeight="1" x14ac:dyDescent="0.15">
      <c r="X39" s="2"/>
    </row>
    <row r="40" spans="1:24" s="3" customFormat="1" ht="20.100000000000001" customHeight="1" x14ac:dyDescent="0.15"/>
    <row r="41" spans="1:24" s="3" customFormat="1" ht="20.100000000000001" customHeight="1" x14ac:dyDescent="0.15"/>
    <row r="42" spans="1:24" s="3" customFormat="1" ht="20.100000000000001" customHeight="1" x14ac:dyDescent="0.15"/>
    <row r="43" spans="1:24" s="3" customFormat="1" ht="20.100000000000001" customHeight="1" x14ac:dyDescent="0.15"/>
    <row r="44" spans="1:24" s="3" customFormat="1" ht="20.100000000000001" customHeight="1" x14ac:dyDescent="0.15"/>
    <row r="45" spans="1:24" s="3" customFormat="1" ht="20.100000000000001" customHeight="1" x14ac:dyDescent="0.15"/>
    <row r="46" spans="1:24" s="3" customFormat="1" ht="20.100000000000001" customHeight="1" x14ac:dyDescent="0.15"/>
    <row r="47" spans="1:24" s="3" customFormat="1" ht="20.100000000000001" customHeight="1" x14ac:dyDescent="0.15"/>
    <row r="48" spans="1:24" s="3" customFormat="1" ht="20.100000000000001" customHeight="1" x14ac:dyDescent="0.15"/>
    <row r="49" s="3" customFormat="1" ht="20.100000000000001" customHeight="1" x14ac:dyDescent="0.15"/>
    <row r="50" s="3" customFormat="1" ht="20.100000000000001" customHeight="1" x14ac:dyDescent="0.15"/>
    <row r="51" s="3" customFormat="1" ht="20.100000000000001" customHeight="1" x14ac:dyDescent="0.15"/>
    <row r="52" s="3" customFormat="1" ht="20.100000000000001" customHeight="1" x14ac:dyDescent="0.15"/>
    <row r="53" s="3" customFormat="1" ht="20.100000000000001" customHeight="1" x14ac:dyDescent="0.15"/>
    <row r="54" s="3" customFormat="1" ht="20.100000000000001" customHeight="1" x14ac:dyDescent="0.15"/>
    <row r="55" s="3" customFormat="1" ht="20.100000000000001" customHeight="1" x14ac:dyDescent="0.15"/>
    <row r="56" s="3" customFormat="1" ht="20.100000000000001" customHeight="1" x14ac:dyDescent="0.15"/>
    <row r="57" s="3" customFormat="1" ht="20.100000000000001" customHeight="1" x14ac:dyDescent="0.15"/>
    <row r="58" s="3" customFormat="1" ht="20.100000000000001" customHeight="1" x14ac:dyDescent="0.15"/>
    <row r="59" s="3" customFormat="1" ht="20.100000000000001" customHeight="1" x14ac:dyDescent="0.15"/>
    <row r="60" s="3" customFormat="1" ht="20.100000000000001" customHeight="1" x14ac:dyDescent="0.15"/>
    <row r="61" s="3" customFormat="1" ht="20.100000000000001" customHeight="1" x14ac:dyDescent="0.15"/>
    <row r="62" s="3" customFormat="1" ht="20.100000000000001" customHeight="1" x14ac:dyDescent="0.15"/>
    <row r="63" s="3" customFormat="1" ht="20.100000000000001" customHeight="1" x14ac:dyDescent="0.15"/>
    <row r="64" s="3" customFormat="1" ht="20.100000000000001" customHeight="1" x14ac:dyDescent="0.15"/>
    <row r="65" s="3" customFormat="1" ht="20.100000000000001" customHeight="1" x14ac:dyDescent="0.15"/>
    <row r="66" s="3" customFormat="1" ht="20.100000000000001" customHeight="1" x14ac:dyDescent="0.15"/>
    <row r="67" s="3" customFormat="1" ht="20.100000000000001" customHeight="1" x14ac:dyDescent="0.15"/>
    <row r="68" s="3" customFormat="1" ht="20.100000000000001" customHeight="1" x14ac:dyDescent="0.15"/>
    <row r="69" s="3" customFormat="1" ht="20.100000000000001" customHeight="1" x14ac:dyDescent="0.15"/>
    <row r="70" s="3" customFormat="1" ht="20.100000000000001" customHeight="1" x14ac:dyDescent="0.15"/>
    <row r="71" s="3" customFormat="1" ht="20.100000000000001" customHeight="1" x14ac:dyDescent="0.15"/>
    <row r="72" s="3" customFormat="1" ht="20.100000000000001" customHeight="1" x14ac:dyDescent="0.15"/>
    <row r="73" s="3" customFormat="1" ht="20.100000000000001" customHeight="1" x14ac:dyDescent="0.15"/>
    <row r="74" s="3" customFormat="1" ht="20.100000000000001" customHeight="1" x14ac:dyDescent="0.15"/>
    <row r="75" s="3" customFormat="1" ht="20.100000000000001" customHeight="1" x14ac:dyDescent="0.15"/>
    <row r="76" s="3" customFormat="1" ht="20.100000000000001" customHeight="1" x14ac:dyDescent="0.15"/>
    <row r="77" s="3" customFormat="1" ht="20.100000000000001" customHeight="1" x14ac:dyDescent="0.15"/>
    <row r="78" s="3" customFormat="1" ht="20.100000000000001" customHeight="1" x14ac:dyDescent="0.15"/>
    <row r="79" s="3" customFormat="1" ht="20.100000000000001" customHeight="1" x14ac:dyDescent="0.15"/>
    <row r="80" s="3" customFormat="1" ht="20.100000000000001" customHeight="1" x14ac:dyDescent="0.15"/>
    <row r="81" s="3" customFormat="1" ht="20.100000000000001" customHeight="1" x14ac:dyDescent="0.15"/>
    <row r="82" s="3" customFormat="1" ht="20.100000000000001" customHeight="1" x14ac:dyDescent="0.15"/>
    <row r="83" s="3" customFormat="1" ht="20.100000000000001" customHeight="1" x14ac:dyDescent="0.15"/>
    <row r="84" s="3" customFormat="1" ht="20.100000000000001" customHeight="1" x14ac:dyDescent="0.15"/>
    <row r="85" s="3" customFormat="1" ht="20.100000000000001" customHeight="1" x14ac:dyDescent="0.15"/>
    <row r="86" s="3" customFormat="1" ht="20.100000000000001" customHeight="1" x14ac:dyDescent="0.15"/>
    <row r="87" s="3" customFormat="1" ht="20.100000000000001" customHeight="1" x14ac:dyDescent="0.15"/>
    <row r="88" s="3" customFormat="1" ht="20.100000000000001" customHeight="1" x14ac:dyDescent="0.15"/>
    <row r="89" s="3" customFormat="1" ht="20.100000000000001" customHeight="1" x14ac:dyDescent="0.15"/>
    <row r="90" s="3" customFormat="1" ht="20.100000000000001" customHeight="1" x14ac:dyDescent="0.15"/>
    <row r="91" s="3" customFormat="1" ht="20.100000000000001" customHeight="1" x14ac:dyDescent="0.15"/>
    <row r="92" s="3" customFormat="1" ht="20.100000000000001" customHeight="1" x14ac:dyDescent="0.15"/>
    <row r="93" s="3" customFormat="1" ht="20.100000000000001" customHeight="1" x14ac:dyDescent="0.15"/>
    <row r="94" s="3" customFormat="1" ht="20.100000000000001" customHeight="1" x14ac:dyDescent="0.15"/>
    <row r="95" s="3" customFormat="1" ht="20.100000000000001" customHeight="1" x14ac:dyDescent="0.15"/>
    <row r="96" s="3" customFormat="1" ht="20.100000000000001" customHeight="1" x14ac:dyDescent="0.15"/>
    <row r="97" s="3" customFormat="1" ht="20.100000000000001" customHeight="1" x14ac:dyDescent="0.15"/>
    <row r="98" s="3" customFormat="1" ht="20.100000000000001" customHeight="1" x14ac:dyDescent="0.15"/>
    <row r="99" s="3" customFormat="1" ht="20.100000000000001" customHeight="1" x14ac:dyDescent="0.15"/>
    <row r="100" s="3" customFormat="1" ht="20.100000000000001" customHeight="1" x14ac:dyDescent="0.15"/>
    <row r="101" s="3" customFormat="1" ht="20.100000000000001" customHeight="1" x14ac:dyDescent="0.15"/>
    <row r="102" s="3" customFormat="1" ht="20.100000000000001" customHeight="1" x14ac:dyDescent="0.15"/>
    <row r="103" s="3" customFormat="1" ht="20.100000000000001" customHeight="1" x14ac:dyDescent="0.15"/>
    <row r="104" s="3" customFormat="1" ht="20.100000000000001" customHeight="1" x14ac:dyDescent="0.15"/>
    <row r="105" s="3" customFormat="1" ht="20.100000000000001" customHeight="1" x14ac:dyDescent="0.15"/>
    <row r="106" s="3" customFormat="1" ht="20.100000000000001" customHeight="1" x14ac:dyDescent="0.15"/>
    <row r="107" s="3" customFormat="1" ht="20.100000000000001" customHeight="1" x14ac:dyDescent="0.15"/>
    <row r="108" s="3" customFormat="1" ht="20.100000000000001" customHeight="1" x14ac:dyDescent="0.15"/>
    <row r="109" s="3" customFormat="1" ht="20.100000000000001" customHeight="1" x14ac:dyDescent="0.15"/>
    <row r="110" s="3" customFormat="1" ht="20.100000000000001" customHeight="1" x14ac:dyDescent="0.15"/>
    <row r="111" s="3" customFormat="1" ht="20.100000000000001" customHeight="1" x14ac:dyDescent="0.15"/>
    <row r="112" s="3" customFormat="1" ht="20.100000000000001" customHeight="1" x14ac:dyDescent="0.15"/>
    <row r="113" s="3" customFormat="1" ht="20.100000000000001" customHeight="1" x14ac:dyDescent="0.15"/>
    <row r="114" s="3" customFormat="1" ht="20.100000000000001" customHeight="1" x14ac:dyDescent="0.15"/>
    <row r="115" s="3" customFormat="1" ht="20.100000000000001" customHeight="1" x14ac:dyDescent="0.15"/>
    <row r="116" s="3" customFormat="1" ht="20.100000000000001" customHeight="1" x14ac:dyDescent="0.15"/>
    <row r="117" s="3" customFormat="1" ht="20.100000000000001" customHeight="1" x14ac:dyDescent="0.15"/>
    <row r="118" s="3" customFormat="1" ht="20.100000000000001" customHeight="1" x14ac:dyDescent="0.15"/>
    <row r="119" s="3" customFormat="1" ht="20.100000000000001" customHeight="1" x14ac:dyDescent="0.15"/>
    <row r="120" s="3" customFormat="1" ht="20.100000000000001" customHeight="1" x14ac:dyDescent="0.15"/>
    <row r="121" s="3" customFormat="1" ht="20.100000000000001" customHeight="1" x14ac:dyDescent="0.15"/>
    <row r="122" s="3" customFormat="1" ht="20.100000000000001" customHeight="1" x14ac:dyDescent="0.15"/>
    <row r="123" s="3" customFormat="1" ht="20.100000000000001" customHeight="1" x14ac:dyDescent="0.15"/>
    <row r="124" s="3" customFormat="1" ht="20.100000000000001" customHeight="1" x14ac:dyDescent="0.15"/>
    <row r="125" s="3" customFormat="1" ht="20.100000000000001" customHeight="1" x14ac:dyDescent="0.15"/>
    <row r="126" s="3" customFormat="1" ht="20.100000000000001" customHeight="1" x14ac:dyDescent="0.15"/>
    <row r="127" s="3" customFormat="1" ht="20.100000000000001" customHeight="1" x14ac:dyDescent="0.15"/>
    <row r="128" s="3" customFormat="1" ht="20.100000000000001" customHeight="1" x14ac:dyDescent="0.15"/>
    <row r="129" s="3" customFormat="1" ht="20.100000000000001" customHeight="1" x14ac:dyDescent="0.15"/>
    <row r="130" s="3" customFormat="1" ht="20.100000000000001" customHeight="1" x14ac:dyDescent="0.15"/>
    <row r="131" s="3" customFormat="1" ht="20.100000000000001" customHeight="1" x14ac:dyDescent="0.15"/>
    <row r="132" s="3" customFormat="1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</sheetData>
  <sheetProtection algorithmName="SHA-512" hashValue="bmE2WIz4PgFQw3YICUDFftZRm9kQEeVn3RkXofJvyUNugto4Feu0oFWfdnOCs1QV42Z9/Ro+pFqcw1JwpTNZww==" saltValue="1ZydXkbNUCcn+sD5sCi3SQ==" spinCount="100000" sheet="1" objects="1" scenarios="1" selectLockedCells="1"/>
  <mergeCells count="132">
    <mergeCell ref="A7:B7"/>
    <mergeCell ref="C7:F7"/>
    <mergeCell ref="G7:H7"/>
    <mergeCell ref="A8:B8"/>
    <mergeCell ref="C8:F8"/>
    <mergeCell ref="G8:H8"/>
    <mergeCell ref="A1:AB1"/>
    <mergeCell ref="A4:B5"/>
    <mergeCell ref="C4:F5"/>
    <mergeCell ref="G4:H5"/>
    <mergeCell ref="A6:B6"/>
    <mergeCell ref="C6:F6"/>
    <mergeCell ref="G6:H6"/>
    <mergeCell ref="Y18:Z18"/>
    <mergeCell ref="A11:F11"/>
    <mergeCell ref="G11:H11"/>
    <mergeCell ref="A16:B17"/>
    <mergeCell ref="C16:F17"/>
    <mergeCell ref="G16:H17"/>
    <mergeCell ref="I16:J17"/>
    <mergeCell ref="A9:B9"/>
    <mergeCell ref="C9:F9"/>
    <mergeCell ref="G9:H9"/>
    <mergeCell ref="A10:B10"/>
    <mergeCell ref="C10:F10"/>
    <mergeCell ref="G10:H10"/>
    <mergeCell ref="Q19:R19"/>
    <mergeCell ref="S19:T19"/>
    <mergeCell ref="W16:X17"/>
    <mergeCell ref="Y16:Z17"/>
    <mergeCell ref="AA16:AB17"/>
    <mergeCell ref="AF16:AJ16"/>
    <mergeCell ref="A18:B18"/>
    <mergeCell ref="C18:F18"/>
    <mergeCell ref="G18:H18"/>
    <mergeCell ref="I18:J18"/>
    <mergeCell ref="K18:L18"/>
    <mergeCell ref="M18:N18"/>
    <mergeCell ref="K16:L17"/>
    <mergeCell ref="M16:N17"/>
    <mergeCell ref="O16:P17"/>
    <mergeCell ref="Q16:R17"/>
    <mergeCell ref="S16:T17"/>
    <mergeCell ref="U16:V17"/>
    <mergeCell ref="AA18:AB18"/>
    <mergeCell ref="O18:P18"/>
    <mergeCell ref="Q18:R18"/>
    <mergeCell ref="S18:T18"/>
    <mergeCell ref="U18:V18"/>
    <mergeCell ref="W18:X18"/>
    <mergeCell ref="U19:V19"/>
    <mergeCell ref="W19:X19"/>
    <mergeCell ref="Y19:Z19"/>
    <mergeCell ref="AA19:AB19"/>
    <mergeCell ref="A20:B20"/>
    <mergeCell ref="C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A19:B19"/>
    <mergeCell ref="C19:F19"/>
    <mergeCell ref="G19:H19"/>
    <mergeCell ref="I19:J19"/>
    <mergeCell ref="K19:L19"/>
    <mergeCell ref="M19:N19"/>
    <mergeCell ref="O19:P19"/>
    <mergeCell ref="A21:B21"/>
    <mergeCell ref="C21:F21"/>
    <mergeCell ref="G21:H21"/>
    <mergeCell ref="I21:J21"/>
    <mergeCell ref="K21:L21"/>
    <mergeCell ref="M21:N21"/>
    <mergeCell ref="O21:P21"/>
    <mergeCell ref="Q21:R21"/>
    <mergeCell ref="S21:T21"/>
    <mergeCell ref="W22:X22"/>
    <mergeCell ref="Y22:Z22"/>
    <mergeCell ref="U21:V21"/>
    <mergeCell ref="W21:X21"/>
    <mergeCell ref="Y21:Z21"/>
    <mergeCell ref="AA21:AB21"/>
    <mergeCell ref="AA22:AB22"/>
    <mergeCell ref="K22:L22"/>
    <mergeCell ref="M22:N22"/>
    <mergeCell ref="Q22:R22"/>
    <mergeCell ref="S22:T22"/>
    <mergeCell ref="U22:V22"/>
    <mergeCell ref="O22:P22"/>
    <mergeCell ref="A22:B22"/>
    <mergeCell ref="C22:F22"/>
    <mergeCell ref="G22:H22"/>
    <mergeCell ref="I22:J22"/>
    <mergeCell ref="A30:B30"/>
    <mergeCell ref="C30:F30"/>
    <mergeCell ref="G30:H30"/>
    <mergeCell ref="I30:J30"/>
    <mergeCell ref="K30:L30"/>
    <mergeCell ref="A29:B29"/>
    <mergeCell ref="C29:F29"/>
    <mergeCell ref="G29:H29"/>
    <mergeCell ref="I29:J29"/>
    <mergeCell ref="K29:L29"/>
    <mergeCell ref="A27:B28"/>
    <mergeCell ref="C27:F28"/>
    <mergeCell ref="G27:H28"/>
    <mergeCell ref="I27:J28"/>
    <mergeCell ref="K27:L28"/>
    <mergeCell ref="A31:B31"/>
    <mergeCell ref="C31:F31"/>
    <mergeCell ref="G31:H31"/>
    <mergeCell ref="I31:J31"/>
    <mergeCell ref="K31:L31"/>
    <mergeCell ref="A34:J34"/>
    <mergeCell ref="K34:L34"/>
    <mergeCell ref="A32:B32"/>
    <mergeCell ref="C32:F32"/>
    <mergeCell ref="G32:H32"/>
    <mergeCell ref="I32:J32"/>
    <mergeCell ref="K32:L32"/>
    <mergeCell ref="A33:B33"/>
    <mergeCell ref="C33:F33"/>
    <mergeCell ref="G33:H33"/>
    <mergeCell ref="I33:J33"/>
    <mergeCell ref="K33:L33"/>
  </mergeCells>
  <phoneticPr fontId="2"/>
  <conditionalFormatting sqref="K34:L34">
    <cfRule type="expression" dxfId="1" priority="2" stopIfTrue="1">
      <formula>$K$34=0</formula>
    </cfRule>
  </conditionalFormatting>
  <conditionalFormatting sqref="G11:H14">
    <cfRule type="expression" dxfId="0" priority="1" stopIfTrue="1">
      <formula>$G$11=0</formula>
    </cfRule>
  </conditionalFormatting>
  <dataValidations count="2">
    <dataValidation type="list" allowBlank="1" showInputMessage="1" showErrorMessage="1" sqref="C6:F10 C18:F22" xr:uid="{00000000-0002-0000-0D00-000000000000}">
      <formula1>"基礎断熱,玄関土間,勝手口土間,その他"</formula1>
    </dataValidation>
    <dataValidation type="list" allowBlank="1" showInputMessage="1" showErrorMessage="1" sqref="I29:J33" xr:uid="{00000000-0002-0000-0D00-000001000000}">
      <formula1>"　,1.0,0.7"</formula1>
    </dataValidation>
  </dataValidations>
  <pageMargins left="0.59055118110236227" right="0.39370078740157483" top="0.98425196850393704" bottom="0.78740157480314965" header="0.31496062992125984" footer="0.39370078740157483"/>
  <pageSetup paperSize="9" scale="90" orientation="portrait" horizontalDpi="300" verticalDpi="300" r:id="rId1"/>
  <headerFooter>
    <oddHeader>&amp;Rver. 1.5（excel 2010）[H28]</oddHeader>
    <oddFooter>&amp;Cⓒ　2013 hyoukakyoukai.All right reserved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I23"/>
  <sheetViews>
    <sheetView view="pageBreakPreview" zoomScaleNormal="100" zoomScaleSheetLayoutView="100" workbookViewId="0">
      <selection activeCell="I23" sqref="I23"/>
    </sheetView>
  </sheetViews>
  <sheetFormatPr defaultRowHeight="13.5" x14ac:dyDescent="0.15"/>
  <cols>
    <col min="3" max="3" width="10.5" bestFit="1" customWidth="1"/>
    <col min="9" max="9" width="9.5" bestFit="1" customWidth="1"/>
  </cols>
  <sheetData>
    <row r="1" spans="1:7" x14ac:dyDescent="0.15">
      <c r="A1" t="s">
        <v>325</v>
      </c>
    </row>
    <row r="3" spans="1:7" x14ac:dyDescent="0.15">
      <c r="A3" t="s">
        <v>854</v>
      </c>
    </row>
    <row r="4" spans="1:7" x14ac:dyDescent="0.15">
      <c r="A4" t="s">
        <v>824</v>
      </c>
    </row>
    <row r="6" spans="1:7" x14ac:dyDescent="0.15">
      <c r="A6" t="s">
        <v>855</v>
      </c>
    </row>
    <row r="7" spans="1:7" x14ac:dyDescent="0.15">
      <c r="A7" t="s">
        <v>869</v>
      </c>
    </row>
    <row r="9" spans="1:7" x14ac:dyDescent="0.15">
      <c r="A9" t="s">
        <v>856</v>
      </c>
    </row>
    <row r="10" spans="1:7" x14ac:dyDescent="0.15">
      <c r="A10" t="s">
        <v>878</v>
      </c>
    </row>
    <row r="11" spans="1:7" x14ac:dyDescent="0.15">
      <c r="A11" t="s">
        <v>868</v>
      </c>
    </row>
    <row r="13" spans="1:7" x14ac:dyDescent="0.15">
      <c r="A13" s="243" t="s">
        <v>877</v>
      </c>
      <c r="B13" s="243"/>
      <c r="C13" s="244">
        <v>43435</v>
      </c>
      <c r="D13" s="243"/>
      <c r="E13" s="243"/>
      <c r="F13" s="243"/>
      <c r="G13" s="243"/>
    </row>
    <row r="14" spans="1:7" x14ac:dyDescent="0.15">
      <c r="A14" s="243" t="s">
        <v>870</v>
      </c>
      <c r="C14" s="243"/>
      <c r="D14" s="243"/>
      <c r="E14" s="243"/>
      <c r="F14" s="243"/>
      <c r="G14" s="243"/>
    </row>
    <row r="15" spans="1:7" x14ac:dyDescent="0.15">
      <c r="A15" s="243" t="s">
        <v>871</v>
      </c>
      <c r="C15" s="243"/>
      <c r="D15" s="243"/>
      <c r="E15" s="243"/>
      <c r="F15" s="243"/>
      <c r="G15" s="243"/>
    </row>
    <row r="16" spans="1:7" x14ac:dyDescent="0.15">
      <c r="A16" s="243" t="s">
        <v>875</v>
      </c>
      <c r="B16" s="243"/>
      <c r="C16" s="243"/>
      <c r="D16" s="243"/>
      <c r="E16" s="243"/>
      <c r="F16" s="243"/>
    </row>
    <row r="17" spans="1:9" x14ac:dyDescent="0.15">
      <c r="A17" s="243" t="s">
        <v>872</v>
      </c>
      <c r="B17" s="243"/>
      <c r="C17" s="243"/>
      <c r="D17" s="243"/>
      <c r="E17" s="243"/>
      <c r="F17" s="243"/>
    </row>
    <row r="18" spans="1:9" x14ac:dyDescent="0.15">
      <c r="A18" s="243" t="s">
        <v>873</v>
      </c>
    </row>
    <row r="20" spans="1:9" x14ac:dyDescent="0.15">
      <c r="A20" t="s">
        <v>879</v>
      </c>
    </row>
    <row r="21" spans="1:9" x14ac:dyDescent="0.15">
      <c r="A21" t="s">
        <v>880</v>
      </c>
    </row>
    <row r="23" spans="1:9" x14ac:dyDescent="0.15">
      <c r="I23" s="247"/>
    </row>
  </sheetData>
  <sheetProtection algorithmName="SHA-512" hashValue="Q8pn5Cg0Ylj+PNqu8o+aIUWGWKScSsr9xuXmMo5ixXhNmdEg0OdyAIfEZRlJ4n4AmnLrmBm3A3UIyv09b3XrlQ==" saltValue="vBvQvkGJCgmbb2uGtl8jcQ==" spinCount="100000" sheet="1" objects="1" scenarios="1" selectLockedCells="1"/>
  <phoneticPr fontId="2"/>
  <pageMargins left="0.59055118110236227" right="0.39370078740157483" top="0.98425196850393704" bottom="0.78740157480314965" header="0.31496062992125984" footer="0.39370078740157483"/>
  <pageSetup paperSize="9" orientation="portrait" horizontalDpi="300" verticalDpi="300" r:id="rId1"/>
  <headerFooter>
    <oddHeader>&amp;Rver. 1.5（excel 2010）[H28]</oddHeader>
    <oddFooter>&amp;Cⓒ　2013 hyoukakyoukai.All right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K146"/>
  <sheetViews>
    <sheetView tabSelected="1" view="pageBreakPreview" zoomScaleNormal="100" zoomScaleSheetLayoutView="100" workbookViewId="0">
      <selection activeCell="J5" sqref="J5:AB5"/>
    </sheetView>
  </sheetViews>
  <sheetFormatPr defaultRowHeight="13.5" x14ac:dyDescent="0.15"/>
  <cols>
    <col min="1" max="28" width="3.625" customWidth="1"/>
    <col min="29" max="29" width="0.75" customWidth="1"/>
    <col min="30" max="30" width="3.625" hidden="1" customWidth="1"/>
    <col min="31" max="31" width="8" hidden="1" customWidth="1"/>
    <col min="32" max="37" width="10.625" hidden="1" customWidth="1"/>
    <col min="38" max="52" width="3.625" customWidth="1"/>
  </cols>
  <sheetData>
    <row r="1" spans="1:37" ht="30" customHeight="1" x14ac:dyDescent="0.15">
      <c r="A1" s="306" t="s">
        <v>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</row>
    <row r="2" spans="1:37" ht="24.95" customHeight="1" x14ac:dyDescent="0.15">
      <c r="A2" s="307" t="s">
        <v>781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</row>
    <row r="3" spans="1:37" ht="30" customHeight="1" x14ac:dyDescent="0.15">
      <c r="AF3" s="250" t="s">
        <v>93</v>
      </c>
      <c r="AG3" s="250"/>
      <c r="AH3" s="250"/>
      <c r="AI3" s="250"/>
      <c r="AJ3" s="250"/>
      <c r="AK3" s="250"/>
    </row>
    <row r="4" spans="1:37" ht="30" customHeight="1" thickBot="1" x14ac:dyDescent="0.2">
      <c r="A4" s="4" t="s">
        <v>23</v>
      </c>
      <c r="AE4" s="71"/>
      <c r="AF4" s="251" t="s">
        <v>379</v>
      </c>
      <c r="AG4" s="251"/>
      <c r="AH4" s="251" t="s">
        <v>380</v>
      </c>
      <c r="AI4" s="251"/>
      <c r="AJ4" s="251" t="s">
        <v>381</v>
      </c>
      <c r="AK4" s="251"/>
    </row>
    <row r="5" spans="1:37" s="2" customFormat="1" ht="30" customHeight="1" x14ac:dyDescent="0.15">
      <c r="A5" s="288" t="s">
        <v>24</v>
      </c>
      <c r="B5" s="289"/>
      <c r="C5" s="289"/>
      <c r="D5" s="289"/>
      <c r="E5" s="289"/>
      <c r="F5" s="289"/>
      <c r="G5" s="289"/>
      <c r="H5" s="290"/>
      <c r="I5" s="13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3"/>
      <c r="AE5" s="71"/>
      <c r="AF5" s="73" t="s">
        <v>382</v>
      </c>
      <c r="AG5" s="73" t="s">
        <v>383</v>
      </c>
      <c r="AH5" s="73" t="s">
        <v>382</v>
      </c>
      <c r="AI5" s="73" t="s">
        <v>383</v>
      </c>
      <c r="AJ5" s="73" t="s">
        <v>382</v>
      </c>
      <c r="AK5" s="73" t="s">
        <v>383</v>
      </c>
    </row>
    <row r="6" spans="1:37" s="2" customFormat="1" ht="30" customHeight="1" x14ac:dyDescent="0.15">
      <c r="A6" s="314" t="s">
        <v>25</v>
      </c>
      <c r="B6" s="315"/>
      <c r="C6" s="315"/>
      <c r="D6" s="315"/>
      <c r="E6" s="315"/>
      <c r="F6" s="315"/>
      <c r="G6" s="315"/>
      <c r="H6" s="316"/>
      <c r="I6" s="14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7"/>
      <c r="W6" s="312" t="s">
        <v>27</v>
      </c>
      <c r="X6" s="313"/>
      <c r="Y6" s="313"/>
      <c r="Z6" s="310"/>
      <c r="AA6" s="310"/>
      <c r="AB6" s="311"/>
      <c r="AE6" s="73" t="s">
        <v>815</v>
      </c>
      <c r="AF6" s="73">
        <v>0.46</v>
      </c>
      <c r="AG6" s="74" t="s">
        <v>384</v>
      </c>
      <c r="AH6" s="73">
        <v>0.54</v>
      </c>
      <c r="AI6" s="74" t="s">
        <v>384</v>
      </c>
      <c r="AJ6" s="73">
        <v>0.72</v>
      </c>
      <c r="AK6" s="74" t="s">
        <v>384</v>
      </c>
    </row>
    <row r="7" spans="1:37" s="2" customFormat="1" ht="30" customHeight="1" thickBot="1" x14ac:dyDescent="0.2">
      <c r="A7" s="318" t="s">
        <v>26</v>
      </c>
      <c r="B7" s="319"/>
      <c r="C7" s="319"/>
      <c r="D7" s="319"/>
      <c r="E7" s="319"/>
      <c r="F7" s="319"/>
      <c r="G7" s="319"/>
      <c r="H7" s="320"/>
      <c r="I7" s="12"/>
      <c r="J7" s="24"/>
      <c r="K7" s="24"/>
      <c r="L7" s="308" t="s">
        <v>28</v>
      </c>
      <c r="M7" s="308"/>
      <c r="N7" s="309"/>
      <c r="O7" s="309"/>
      <c r="P7" s="24" t="s">
        <v>2</v>
      </c>
      <c r="Q7" s="308" t="s">
        <v>29</v>
      </c>
      <c r="R7" s="308"/>
      <c r="S7" s="309"/>
      <c r="T7" s="309"/>
      <c r="U7" s="24" t="s">
        <v>2</v>
      </c>
      <c r="V7" s="24"/>
      <c r="W7" s="24"/>
      <c r="X7" s="24"/>
      <c r="Y7" s="24"/>
      <c r="Z7" s="24"/>
      <c r="AA7" s="24"/>
      <c r="AB7" s="25"/>
      <c r="AE7" s="73" t="s">
        <v>816</v>
      </c>
      <c r="AF7" s="73">
        <v>0.46</v>
      </c>
      <c r="AG7" s="74" t="s">
        <v>384</v>
      </c>
      <c r="AH7" s="73">
        <v>0.54</v>
      </c>
      <c r="AI7" s="74" t="s">
        <v>384</v>
      </c>
      <c r="AJ7" s="73">
        <v>0.72</v>
      </c>
      <c r="AK7" s="74" t="s">
        <v>384</v>
      </c>
    </row>
    <row r="8" spans="1:37" s="2" customFormat="1" ht="30" customHeight="1" x14ac:dyDescent="0.15">
      <c r="AE8" s="73" t="s">
        <v>817</v>
      </c>
      <c r="AF8" s="73">
        <v>0.56000000000000005</v>
      </c>
      <c r="AG8" s="74" t="s">
        <v>384</v>
      </c>
      <c r="AH8" s="73">
        <v>1.04</v>
      </c>
      <c r="AI8" s="74" t="s">
        <v>384</v>
      </c>
      <c r="AJ8" s="73">
        <v>1.21</v>
      </c>
      <c r="AK8" s="74" t="s">
        <v>384</v>
      </c>
    </row>
    <row r="9" spans="1:37" s="2" customFormat="1" ht="30" customHeight="1" thickBot="1" x14ac:dyDescent="0.2">
      <c r="A9" s="4" t="s">
        <v>30</v>
      </c>
      <c r="AE9" s="73" t="s">
        <v>818</v>
      </c>
      <c r="AF9" s="73">
        <v>0.75</v>
      </c>
      <c r="AG9" s="74" t="s">
        <v>384</v>
      </c>
      <c r="AH9" s="73">
        <v>1.25</v>
      </c>
      <c r="AI9" s="74" t="s">
        <v>384</v>
      </c>
      <c r="AJ9" s="73">
        <v>1.47</v>
      </c>
      <c r="AK9" s="74" t="s">
        <v>384</v>
      </c>
    </row>
    <row r="10" spans="1:37" s="2" customFormat="1" ht="30" customHeight="1" x14ac:dyDescent="0.15">
      <c r="A10" s="288" t="s">
        <v>779</v>
      </c>
      <c r="B10" s="289"/>
      <c r="C10" s="289"/>
      <c r="D10" s="289"/>
      <c r="E10" s="289"/>
      <c r="F10" s="289"/>
      <c r="G10" s="289"/>
      <c r="H10" s="290"/>
      <c r="I10" s="291">
        <f>ROUND('Ａ（北）'!K35+'Ａ（北東）'!K35+'Ａ（東）'!K35+'Ａ（南東）'!K35+'Ａ（南）'!K35+'Ａ（南西）'!K35+'Ａ（西）'!K35+'Ａ（北西）'!K35+'Ｂ（屋根・床等）'!H30+'Ｃ（基礎）'!G11,2)</f>
        <v>0</v>
      </c>
      <c r="J10" s="292"/>
      <c r="K10" s="292"/>
      <c r="L10" s="298" t="s">
        <v>21</v>
      </c>
      <c r="M10" s="299"/>
      <c r="N10" s="300" t="s">
        <v>783</v>
      </c>
      <c r="O10" s="301"/>
      <c r="P10" s="301"/>
      <c r="Q10" s="301"/>
      <c r="R10" s="301"/>
      <c r="S10" s="301"/>
      <c r="T10" s="301"/>
      <c r="U10" s="301"/>
      <c r="V10" s="301"/>
      <c r="W10" s="301"/>
      <c r="X10" s="302"/>
      <c r="Y10" s="303">
        <f>IF(AG19=0,0,ROUNDUP((AG19/I10)*100,1))</f>
        <v>0</v>
      </c>
      <c r="Z10" s="304"/>
      <c r="AA10" s="304"/>
      <c r="AB10" s="196"/>
      <c r="AE10" s="73" t="s">
        <v>819</v>
      </c>
      <c r="AF10" s="73">
        <v>0.87</v>
      </c>
      <c r="AG10" s="74">
        <v>3</v>
      </c>
      <c r="AH10" s="73">
        <v>1.54</v>
      </c>
      <c r="AI10" s="74">
        <v>4</v>
      </c>
      <c r="AJ10" s="73">
        <v>1.67</v>
      </c>
      <c r="AK10" s="74" t="s">
        <v>384</v>
      </c>
    </row>
    <row r="11" spans="1:37" s="2" customFormat="1" ht="30" customHeight="1" thickBot="1" x14ac:dyDescent="0.2">
      <c r="A11" s="265" t="s">
        <v>782</v>
      </c>
      <c r="B11" s="266"/>
      <c r="C11" s="266"/>
      <c r="D11" s="266"/>
      <c r="E11" s="266"/>
      <c r="F11" s="266"/>
      <c r="G11" s="266"/>
      <c r="H11" s="267"/>
      <c r="I11" s="258">
        <f>IF(AG18=0,0,ROUNDUP(AG18/I10,2))</f>
        <v>0</v>
      </c>
      <c r="J11" s="317"/>
      <c r="K11" s="317"/>
      <c r="L11" s="263" t="s">
        <v>780</v>
      </c>
      <c r="M11" s="321"/>
      <c r="N11" s="318" t="s">
        <v>784</v>
      </c>
      <c r="O11" s="319"/>
      <c r="P11" s="319"/>
      <c r="Q11" s="319"/>
      <c r="R11" s="319"/>
      <c r="S11" s="319"/>
      <c r="T11" s="319"/>
      <c r="U11" s="319"/>
      <c r="V11" s="319"/>
      <c r="W11" s="319"/>
      <c r="X11" s="320"/>
      <c r="Y11" s="258">
        <f>IF(AG20=0,0,ROUNDDOWN((AG20/I10)*100,1))</f>
        <v>0</v>
      </c>
      <c r="Z11" s="259"/>
      <c r="AA11" s="259"/>
      <c r="AB11" s="194"/>
      <c r="AE11" s="73" t="s">
        <v>820</v>
      </c>
      <c r="AF11" s="73">
        <v>0.87</v>
      </c>
      <c r="AG11" s="74">
        <v>2.8</v>
      </c>
      <c r="AH11" s="73">
        <v>1.54</v>
      </c>
      <c r="AI11" s="74">
        <v>3.8</v>
      </c>
      <c r="AJ11" s="73">
        <v>1.67</v>
      </c>
      <c r="AK11" s="74" t="s">
        <v>384</v>
      </c>
    </row>
    <row r="12" spans="1:37" s="2" customFormat="1" ht="30" customHeight="1" x14ac:dyDescent="0.15">
      <c r="A12" s="195"/>
      <c r="B12" s="195"/>
      <c r="C12" s="195"/>
      <c r="D12" s="195"/>
      <c r="E12" s="195"/>
      <c r="F12" s="195"/>
      <c r="G12" s="195"/>
      <c r="H12" s="197"/>
      <c r="I12" s="198"/>
      <c r="J12" s="198"/>
      <c r="K12" s="198"/>
      <c r="L12" s="199"/>
      <c r="M12" s="199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8"/>
      <c r="Z12" s="200"/>
      <c r="AA12" s="200"/>
      <c r="AB12" s="197"/>
      <c r="AE12" s="73" t="s">
        <v>821</v>
      </c>
      <c r="AF12" s="73">
        <v>0.87</v>
      </c>
      <c r="AG12" s="74">
        <v>2.7</v>
      </c>
      <c r="AH12" s="73">
        <v>1.81</v>
      </c>
      <c r="AI12" s="74">
        <v>4</v>
      </c>
      <c r="AJ12" s="73">
        <v>2.35</v>
      </c>
      <c r="AK12" s="74" t="s">
        <v>384</v>
      </c>
    </row>
    <row r="13" spans="1:37" s="2" customFormat="1" ht="30" customHeight="1" x14ac:dyDescent="0.15"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1"/>
      <c r="Z13" s="23"/>
      <c r="AA13" s="23"/>
      <c r="AB13" s="22"/>
      <c r="AE13" s="73" t="s">
        <v>822</v>
      </c>
      <c r="AF13" s="73" t="s">
        <v>384</v>
      </c>
      <c r="AG13" s="246">
        <v>6.7</v>
      </c>
      <c r="AH13" s="73" t="s">
        <v>384</v>
      </c>
      <c r="AI13" s="246" t="s">
        <v>384</v>
      </c>
      <c r="AJ13" s="73" t="s">
        <v>384</v>
      </c>
      <c r="AK13" s="74" t="s">
        <v>384</v>
      </c>
    </row>
    <row r="14" spans="1:37" s="2" customFormat="1" ht="30" customHeight="1" thickBot="1" x14ac:dyDescent="0.2">
      <c r="A14" s="4" t="s">
        <v>94</v>
      </c>
    </row>
    <row r="15" spans="1:37" s="2" customFormat="1" ht="30" customHeight="1" thickBot="1" x14ac:dyDescent="0.2">
      <c r="A15" s="294"/>
      <c r="B15" s="295"/>
      <c r="C15" s="295"/>
      <c r="D15" s="295"/>
      <c r="E15" s="295"/>
      <c r="F15" s="295"/>
      <c r="G15" s="295"/>
      <c r="H15" s="296"/>
      <c r="I15" s="297" t="s">
        <v>89</v>
      </c>
      <c r="J15" s="268"/>
      <c r="K15" s="268"/>
      <c r="L15" s="268"/>
      <c r="M15" s="268"/>
      <c r="N15" s="268" t="s">
        <v>90</v>
      </c>
      <c r="O15" s="268"/>
      <c r="P15" s="268"/>
      <c r="Q15" s="268"/>
      <c r="R15" s="268"/>
      <c r="S15" s="269" t="s">
        <v>91</v>
      </c>
      <c r="T15" s="269"/>
      <c r="U15" s="269"/>
      <c r="V15" s="269"/>
      <c r="W15" s="270"/>
      <c r="Y15" s="139"/>
      <c r="Z15" s="252" t="s">
        <v>385</v>
      </c>
      <c r="AA15" s="253"/>
      <c r="AB15" s="254"/>
    </row>
    <row r="16" spans="1:37" s="2" customFormat="1" ht="30" customHeight="1" x14ac:dyDescent="0.15">
      <c r="A16" s="283" t="s">
        <v>92</v>
      </c>
      <c r="B16" s="253"/>
      <c r="C16" s="253"/>
      <c r="D16" s="253"/>
      <c r="E16" s="253"/>
      <c r="F16" s="253"/>
      <c r="G16" s="253"/>
      <c r="H16" s="253"/>
      <c r="I16" s="293">
        <f>I11</f>
        <v>0</v>
      </c>
      <c r="J16" s="276"/>
      <c r="K16" s="276"/>
      <c r="L16" s="281" t="s">
        <v>32</v>
      </c>
      <c r="M16" s="282"/>
      <c r="N16" s="275" t="e">
        <f>IF(AE16=1,AF16,IF(AE16=2,AH16,IF(AE16=3,AJ16,"-")))</f>
        <v>#N/A</v>
      </c>
      <c r="O16" s="276"/>
      <c r="P16" s="276"/>
      <c r="Q16" s="281" t="s">
        <v>32</v>
      </c>
      <c r="R16" s="282"/>
      <c r="S16" s="273" t="e">
        <f>IF(N16="-","",(IF(N16&gt;=I16,"適合","不適合")))</f>
        <v>#N/A</v>
      </c>
      <c r="T16" s="273"/>
      <c r="U16" s="273"/>
      <c r="V16" s="273"/>
      <c r="W16" s="274"/>
      <c r="Y16" s="140"/>
      <c r="Z16" s="255" t="s">
        <v>386</v>
      </c>
      <c r="AA16" s="256"/>
      <c r="AB16" s="257"/>
      <c r="AE16" s="32">
        <v>1</v>
      </c>
      <c r="AF16" s="30" t="e">
        <f>VLOOKUP(Z6,$AE$6:$AK$13,2,FALSE)</f>
        <v>#N/A</v>
      </c>
      <c r="AG16" s="138" t="e">
        <f>VLOOKUP(Z6,$AE$6:$AK$13,3,FALSE)</f>
        <v>#N/A</v>
      </c>
      <c r="AH16" s="30" t="e">
        <f>VLOOKUP(Z6,$AE$6:$AK$13,4,FALSE)</f>
        <v>#N/A</v>
      </c>
      <c r="AI16" s="138" t="e">
        <f>VLOOKUP(Z6,$AE$6:$AK$13,5,FALSE)</f>
        <v>#N/A</v>
      </c>
      <c r="AJ16" s="30" t="e">
        <f>VLOOKUP(Z6,$AE$6:$AK$13,6,FALSE)</f>
        <v>#N/A</v>
      </c>
      <c r="AK16" s="30" t="e">
        <f>VLOOKUP(Z6,$AE$6:$AK$13,7,FALSE)</f>
        <v>#N/A</v>
      </c>
    </row>
    <row r="17" spans="1:33" s="2" customFormat="1" ht="30" customHeight="1" thickBot="1" x14ac:dyDescent="0.2">
      <c r="A17" s="284" t="s">
        <v>276</v>
      </c>
      <c r="B17" s="285"/>
      <c r="C17" s="285"/>
      <c r="D17" s="285"/>
      <c r="E17" s="285"/>
      <c r="F17" s="285"/>
      <c r="G17" s="285"/>
      <c r="H17" s="285"/>
      <c r="I17" s="279">
        <f>Y10</f>
        <v>0</v>
      </c>
      <c r="J17" s="280"/>
      <c r="K17" s="280"/>
      <c r="L17" s="263"/>
      <c r="M17" s="264"/>
      <c r="N17" s="277" t="e">
        <f>IF(AE16=1,AG16,IF(AE16=2,AI16,IF(AE16=3,AK16,"-")))</f>
        <v>#N/A</v>
      </c>
      <c r="O17" s="278"/>
      <c r="P17" s="278"/>
      <c r="Q17" s="263"/>
      <c r="R17" s="264"/>
      <c r="S17" s="271" t="e">
        <f>IF(N17="-","",(IF(N17&gt;=I17,"適合","不適合")))</f>
        <v>#N/A</v>
      </c>
      <c r="T17" s="271"/>
      <c r="U17" s="271"/>
      <c r="V17" s="271"/>
      <c r="W17" s="272"/>
      <c r="Y17" s="141"/>
      <c r="Z17" s="260" t="s">
        <v>387</v>
      </c>
      <c r="AA17" s="261"/>
      <c r="AB17" s="262"/>
    </row>
    <row r="18" spans="1:33" s="2" customFormat="1" ht="30" customHeight="1" x14ac:dyDescent="0.15">
      <c r="AE18" s="249" t="s">
        <v>775</v>
      </c>
      <c r="AF18" s="193" t="s">
        <v>776</v>
      </c>
      <c r="AG18" s="193">
        <f>'Ａ（北）'!V38+'Ａ（北東）'!V38+'Ａ（東）'!V38+'Ａ（南東）'!V38+'Ａ（南）'!V38+'Ａ（南西）'!V38+'Ａ（西）'!V38+'Ａ（北西）'!V38+'Ｂ（屋根・床等）'!O33+'Ｃ（基礎）'!K34</f>
        <v>0</v>
      </c>
    </row>
    <row r="19" spans="1:33" s="2" customFormat="1" ht="30" customHeight="1" x14ac:dyDescent="0.15">
      <c r="AE19" s="249"/>
      <c r="AF19" s="111" t="s">
        <v>777</v>
      </c>
      <c r="AG19" s="193">
        <f>'Ａ（北）'!V36+'Ａ（北東）'!V36+'Ａ（東）'!V36+'Ａ（南東）'!V36+'Ａ（南）'!V36+'Ａ（南西）'!V36+'Ａ（西）'!V36+'Ａ（北西）'!V36+'Ｂ（屋根・床等）'!O31</f>
        <v>0</v>
      </c>
    </row>
    <row r="20" spans="1:33" s="2" customFormat="1" ht="30" customHeight="1" x14ac:dyDescent="0.15">
      <c r="A20" s="15" t="s">
        <v>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E20" s="249"/>
      <c r="AF20" s="111" t="s">
        <v>778</v>
      </c>
      <c r="AG20" s="193">
        <f>'Ａ（北）'!V37+'Ａ（北東）'!V37+'Ａ（東）'!V37+'Ａ（南東）'!V37+'Ａ（南）'!V37+'Ａ（南西）'!V37+'Ａ（西）'!V37+'Ａ（北西）'!V37+'Ｂ（屋根・床等）'!O32</f>
        <v>0</v>
      </c>
    </row>
    <row r="21" spans="1:33" s="2" customFormat="1" ht="30" customHeight="1" x14ac:dyDescent="0.15">
      <c r="A21" s="7" t="s">
        <v>823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18"/>
      <c r="AF21"/>
    </row>
    <row r="22" spans="1:33" s="2" customFormat="1" ht="30" customHeight="1" x14ac:dyDescent="0.15">
      <c r="A22" s="7" t="s">
        <v>275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18"/>
      <c r="AF22"/>
    </row>
    <row r="23" spans="1:33" s="2" customFormat="1" ht="30" customHeight="1" x14ac:dyDescent="0.15">
      <c r="A23" s="7" t="s">
        <v>399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18"/>
      <c r="AF23"/>
    </row>
    <row r="24" spans="1:33" s="2" customFormat="1" ht="30" customHeight="1" x14ac:dyDescent="0.15">
      <c r="A24" s="7" t="s">
        <v>49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18"/>
      <c r="AF24"/>
    </row>
    <row r="25" spans="1:33" s="2" customFormat="1" ht="30" customHeight="1" x14ac:dyDescent="0.15">
      <c r="A25" s="7" t="s">
        <v>75</v>
      </c>
      <c r="B25" s="222"/>
      <c r="C25" s="222"/>
      <c r="D25" s="222"/>
      <c r="E25" s="305" t="s">
        <v>77</v>
      </c>
      <c r="F25" s="305"/>
      <c r="G25" s="222" t="s">
        <v>76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18"/>
      <c r="AF25"/>
    </row>
    <row r="26" spans="1:33" s="2" customFormat="1" ht="30" customHeight="1" x14ac:dyDescent="0.15">
      <c r="A26" s="7" t="s">
        <v>87</v>
      </c>
      <c r="B26" s="222"/>
      <c r="C26" s="222"/>
      <c r="D26" s="222"/>
      <c r="E26" s="222"/>
      <c r="F26" s="49"/>
      <c r="G26" s="49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18"/>
      <c r="AF26"/>
    </row>
    <row r="27" spans="1:33" s="2" customFormat="1" ht="30" customHeight="1" x14ac:dyDescent="0.15">
      <c r="A27" s="7" t="s">
        <v>832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18"/>
      <c r="AF27"/>
    </row>
    <row r="28" spans="1:33" s="2" customFormat="1" ht="30" customHeight="1" x14ac:dyDescent="0.15">
      <c r="A28" s="19" t="s">
        <v>324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20"/>
    </row>
    <row r="29" spans="1:33" s="2" customFormat="1" ht="30" customHeight="1" x14ac:dyDescent="0.15"/>
    <row r="30" spans="1:33" s="2" customFormat="1" ht="30" customHeight="1" x14ac:dyDescent="0.15"/>
    <row r="31" spans="1:33" s="2" customFormat="1" ht="20.100000000000001" customHeight="1" x14ac:dyDescent="0.15"/>
    <row r="32" spans="1:33" s="2" customFormat="1" ht="20.100000000000001" customHeight="1" x14ac:dyDescent="0.15"/>
    <row r="33" s="2" customFormat="1" ht="20.100000000000001" customHeight="1" x14ac:dyDescent="0.15"/>
    <row r="34" s="2" customFormat="1" ht="20.100000000000001" customHeight="1" x14ac:dyDescent="0.15"/>
    <row r="35" s="2" customFormat="1" ht="20.100000000000001" customHeight="1" x14ac:dyDescent="0.15"/>
    <row r="36" s="2" customFormat="1" ht="20.100000000000001" customHeight="1" x14ac:dyDescent="0.15"/>
    <row r="37" s="2" customFormat="1" ht="20.100000000000001" customHeight="1" x14ac:dyDescent="0.15"/>
    <row r="38" s="2" customFormat="1" ht="20.100000000000001" customHeight="1" x14ac:dyDescent="0.15"/>
    <row r="39" s="2" customFormat="1" ht="20.100000000000001" customHeight="1" x14ac:dyDescent="0.15"/>
    <row r="40" s="2" customFormat="1" ht="20.100000000000001" customHeight="1" x14ac:dyDescent="0.15"/>
    <row r="41" s="2" customFormat="1" ht="20.100000000000001" customHeight="1" x14ac:dyDescent="0.15"/>
    <row r="42" s="2" customFormat="1" ht="20.100000000000001" customHeight="1" x14ac:dyDescent="0.15"/>
    <row r="43" s="2" customFormat="1" ht="20.100000000000001" customHeight="1" x14ac:dyDescent="0.15"/>
    <row r="44" s="2" customFormat="1" ht="20.100000000000001" customHeight="1" x14ac:dyDescent="0.15"/>
    <row r="45" s="2" customFormat="1" ht="20.100000000000001" customHeight="1" x14ac:dyDescent="0.15"/>
    <row r="46" s="2" customFormat="1" ht="20.100000000000001" customHeight="1" x14ac:dyDescent="0.15"/>
    <row r="47" s="2" customFormat="1" ht="20.100000000000001" customHeight="1" x14ac:dyDescent="0.15"/>
    <row r="48" s="2" customFormat="1" ht="20.100000000000001" customHeight="1" x14ac:dyDescent="0.15"/>
    <row r="49" s="2" customFormat="1" ht="20.100000000000001" customHeight="1" x14ac:dyDescent="0.15"/>
    <row r="50" s="2" customFormat="1" ht="20.100000000000001" customHeight="1" x14ac:dyDescent="0.15"/>
    <row r="51" s="2" customFormat="1" ht="20.100000000000001" customHeight="1" x14ac:dyDescent="0.15"/>
    <row r="52" s="2" customFormat="1" ht="20.100000000000001" customHeight="1" x14ac:dyDescent="0.15"/>
    <row r="53" s="2" customFormat="1" ht="20.100000000000001" customHeight="1" x14ac:dyDescent="0.15"/>
    <row r="54" s="2" customFormat="1" ht="20.100000000000001" customHeight="1" x14ac:dyDescent="0.15"/>
    <row r="55" s="2" customFormat="1" ht="20.100000000000001" customHeight="1" x14ac:dyDescent="0.15"/>
    <row r="56" s="2" customFormat="1" ht="20.100000000000001" customHeight="1" x14ac:dyDescent="0.15"/>
    <row r="57" s="2" customFormat="1" ht="20.100000000000001" customHeight="1" x14ac:dyDescent="0.15"/>
    <row r="58" s="2" customFormat="1" ht="20.100000000000001" customHeight="1" x14ac:dyDescent="0.15"/>
    <row r="59" s="2" customFormat="1" ht="20.100000000000001" customHeight="1" x14ac:dyDescent="0.15"/>
    <row r="60" s="2" customFormat="1" ht="20.100000000000001" customHeight="1" x14ac:dyDescent="0.15"/>
    <row r="61" s="2" customFormat="1" ht="20.100000000000001" customHeight="1" x14ac:dyDescent="0.15"/>
    <row r="62" s="2" customFormat="1" ht="20.100000000000001" customHeight="1" x14ac:dyDescent="0.15"/>
    <row r="63" s="2" customFormat="1" ht="20.100000000000001" customHeight="1" x14ac:dyDescent="0.15"/>
    <row r="64" s="2" customFormat="1" ht="20.100000000000001" customHeight="1" x14ac:dyDescent="0.15"/>
    <row r="65" s="2" customFormat="1" ht="20.100000000000001" customHeight="1" x14ac:dyDescent="0.15"/>
    <row r="66" s="2" customFormat="1" ht="20.100000000000001" customHeight="1" x14ac:dyDescent="0.15"/>
    <row r="67" s="2" customFormat="1" ht="20.100000000000001" customHeight="1" x14ac:dyDescent="0.15"/>
    <row r="68" s="2" customFormat="1" ht="20.100000000000001" customHeight="1" x14ac:dyDescent="0.15"/>
    <row r="69" s="2" customFormat="1" ht="20.100000000000001" customHeight="1" x14ac:dyDescent="0.15"/>
    <row r="70" s="2" customFormat="1" ht="20.100000000000001" customHeight="1" x14ac:dyDescent="0.15"/>
    <row r="71" s="2" customFormat="1" ht="20.100000000000001" customHeight="1" x14ac:dyDescent="0.15"/>
    <row r="72" s="2" customFormat="1" ht="20.100000000000001" customHeight="1" x14ac:dyDescent="0.15"/>
    <row r="73" s="2" customFormat="1" ht="20.100000000000001" customHeight="1" x14ac:dyDescent="0.15"/>
    <row r="74" s="2" customFormat="1" ht="20.100000000000001" customHeight="1" x14ac:dyDescent="0.15"/>
    <row r="75" s="2" customFormat="1" ht="20.100000000000001" customHeight="1" x14ac:dyDescent="0.15"/>
    <row r="76" s="2" customFormat="1" ht="20.100000000000001" customHeight="1" x14ac:dyDescent="0.15"/>
    <row r="77" s="2" customFormat="1" ht="20.100000000000001" customHeight="1" x14ac:dyDescent="0.15"/>
    <row r="78" s="2" customFormat="1" ht="20.100000000000001" customHeight="1" x14ac:dyDescent="0.15"/>
    <row r="79" s="2" customFormat="1" ht="20.100000000000001" customHeight="1" x14ac:dyDescent="0.15"/>
    <row r="80" s="2" customFormat="1" ht="20.100000000000001" customHeight="1" x14ac:dyDescent="0.15"/>
    <row r="81" s="2" customFormat="1" ht="20.100000000000001" customHeight="1" x14ac:dyDescent="0.15"/>
    <row r="82" s="2" customFormat="1" ht="20.100000000000001" customHeight="1" x14ac:dyDescent="0.15"/>
    <row r="83" s="2" customFormat="1" ht="20.100000000000001" customHeight="1" x14ac:dyDescent="0.15"/>
    <row r="84" s="2" customFormat="1" ht="20.100000000000001" customHeight="1" x14ac:dyDescent="0.15"/>
    <row r="85" s="2" customFormat="1" ht="20.100000000000001" customHeight="1" x14ac:dyDescent="0.15"/>
    <row r="86" s="2" customFormat="1" ht="20.100000000000001" customHeight="1" x14ac:dyDescent="0.15"/>
    <row r="87" s="2" customFormat="1" ht="20.100000000000001" customHeight="1" x14ac:dyDescent="0.15"/>
    <row r="88" s="2" customFormat="1" ht="20.100000000000001" customHeight="1" x14ac:dyDescent="0.15"/>
    <row r="89" s="2" customFormat="1" ht="20.100000000000001" customHeight="1" x14ac:dyDescent="0.15"/>
    <row r="90" s="2" customFormat="1" ht="20.100000000000001" customHeight="1" x14ac:dyDescent="0.15"/>
    <row r="91" s="2" customFormat="1" ht="20.100000000000001" customHeight="1" x14ac:dyDescent="0.15"/>
    <row r="92" s="2" customFormat="1" ht="20.100000000000001" customHeight="1" x14ac:dyDescent="0.15"/>
    <row r="93" s="2" customFormat="1" ht="20.100000000000001" customHeight="1" x14ac:dyDescent="0.15"/>
    <row r="94" s="2" customFormat="1" ht="20.100000000000001" customHeight="1" x14ac:dyDescent="0.15"/>
    <row r="95" s="2" customFormat="1" ht="20.100000000000001" customHeight="1" x14ac:dyDescent="0.15"/>
    <row r="96" s="2" customFormat="1" ht="20.100000000000001" customHeight="1" x14ac:dyDescent="0.15"/>
    <row r="97" s="2" customFormat="1" ht="20.100000000000001" customHeight="1" x14ac:dyDescent="0.15"/>
    <row r="98" s="2" customFormat="1" ht="20.100000000000001" customHeight="1" x14ac:dyDescent="0.15"/>
    <row r="99" s="2" customFormat="1" ht="20.100000000000001" customHeight="1" x14ac:dyDescent="0.15"/>
    <row r="100" s="2" customFormat="1" ht="20.100000000000001" customHeight="1" x14ac:dyDescent="0.15"/>
    <row r="101" s="2" customFormat="1" ht="20.100000000000001" customHeight="1" x14ac:dyDescent="0.15"/>
    <row r="102" s="2" customFormat="1" ht="20.100000000000001" customHeight="1" x14ac:dyDescent="0.15"/>
    <row r="103" s="2" customFormat="1" ht="20.100000000000001" customHeight="1" x14ac:dyDescent="0.15"/>
    <row r="104" s="2" customFormat="1" ht="20.100000000000001" customHeight="1" x14ac:dyDescent="0.15"/>
    <row r="105" s="2" customFormat="1" ht="20.100000000000001" customHeight="1" x14ac:dyDescent="0.15"/>
    <row r="106" s="2" customFormat="1" ht="20.100000000000001" customHeight="1" x14ac:dyDescent="0.15"/>
    <row r="107" s="2" customFormat="1" ht="20.100000000000001" customHeight="1" x14ac:dyDescent="0.15"/>
    <row r="108" s="2" customFormat="1" ht="20.100000000000001" customHeight="1" x14ac:dyDescent="0.15"/>
    <row r="109" s="2" customFormat="1" ht="20.100000000000001" customHeight="1" x14ac:dyDescent="0.15"/>
    <row r="110" s="2" customFormat="1" ht="20.100000000000001" customHeight="1" x14ac:dyDescent="0.15"/>
    <row r="111" s="2" customFormat="1" ht="20.100000000000001" customHeight="1" x14ac:dyDescent="0.15"/>
    <row r="112" s="2" customFormat="1" ht="20.100000000000001" customHeight="1" x14ac:dyDescent="0.15"/>
    <row r="113" s="2" customFormat="1" ht="20.100000000000001" customHeight="1" x14ac:dyDescent="0.15"/>
    <row r="114" s="2" customFormat="1" ht="20.100000000000001" customHeight="1" x14ac:dyDescent="0.15"/>
    <row r="115" s="2" customFormat="1" ht="20.100000000000001" customHeight="1" x14ac:dyDescent="0.15"/>
    <row r="116" s="2" customFormat="1" ht="20.100000000000001" customHeight="1" x14ac:dyDescent="0.15"/>
    <row r="117" s="2" customFormat="1" ht="20.100000000000001" customHeight="1" x14ac:dyDescent="0.15"/>
    <row r="118" s="2" customFormat="1" ht="20.100000000000001" customHeight="1" x14ac:dyDescent="0.15"/>
    <row r="119" s="2" customFormat="1" ht="20.100000000000001" customHeight="1" x14ac:dyDescent="0.15"/>
    <row r="120" s="2" customFormat="1" ht="20.100000000000001" customHeight="1" x14ac:dyDescent="0.15"/>
    <row r="121" s="2" customFormat="1" ht="20.100000000000001" customHeight="1" x14ac:dyDescent="0.15"/>
    <row r="122" s="2" customFormat="1" ht="20.100000000000001" customHeight="1" x14ac:dyDescent="0.15"/>
    <row r="123" s="2" customFormat="1" ht="20.100000000000001" customHeight="1" x14ac:dyDescent="0.15"/>
    <row r="124" s="2" customFormat="1" ht="20.100000000000001" customHeight="1" x14ac:dyDescent="0.15"/>
    <row r="125" s="2" customFormat="1" ht="20.100000000000001" customHeight="1" x14ac:dyDescent="0.15"/>
    <row r="126" s="2" customFormat="1" ht="20.100000000000001" customHeight="1" x14ac:dyDescent="0.15"/>
    <row r="127" s="2" customFormat="1" ht="20.100000000000001" customHeight="1" x14ac:dyDescent="0.15"/>
    <row r="128" s="2" customFormat="1" ht="20.100000000000001" customHeight="1" x14ac:dyDescent="0.15"/>
    <row r="129" s="2" customFormat="1" ht="20.100000000000001" customHeight="1" x14ac:dyDescent="0.15"/>
    <row r="130" s="2" customFormat="1" ht="20.100000000000001" customHeight="1" x14ac:dyDescent="0.15"/>
    <row r="131" s="2" customFormat="1" ht="20.100000000000001" customHeight="1" x14ac:dyDescent="0.15"/>
    <row r="132" s="2" customFormat="1" ht="20.100000000000001" customHeight="1" x14ac:dyDescent="0.15"/>
    <row r="133" s="2" customFormat="1" ht="20.100000000000001" customHeight="1" x14ac:dyDescent="0.15"/>
    <row r="134" s="2" customFormat="1" ht="20.100000000000001" customHeight="1" x14ac:dyDescent="0.15"/>
    <row r="135" s="2" customFormat="1" ht="20.100000000000001" customHeight="1" x14ac:dyDescent="0.15"/>
    <row r="136" s="2" customFormat="1" ht="20.100000000000001" customHeight="1" x14ac:dyDescent="0.15"/>
    <row r="137" s="2" customFormat="1" ht="20.100000000000001" customHeight="1" x14ac:dyDescent="0.15"/>
    <row r="138" s="2" customFormat="1" ht="20.100000000000001" customHeight="1" x14ac:dyDescent="0.15"/>
    <row r="139" s="2" customFormat="1" ht="20.100000000000001" customHeight="1" x14ac:dyDescent="0.15"/>
    <row r="140" s="2" customFormat="1" ht="20.100000000000001" customHeight="1" x14ac:dyDescent="0.15"/>
    <row r="141" s="3" customFormat="1" ht="20.100000000000001" customHeight="1" x14ac:dyDescent="0.15"/>
    <row r="142" s="3" customFormat="1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</sheetData>
  <sheetProtection algorithmName="SHA-512" hashValue="PJw4IYbFcOz6DBvuecSsp4FbHYirUx+EeGHo27m0qdIGcRZr0F8VYlG9oe1Q/JxUHJyenBj9beLH0KJ9sEkQeQ==" saltValue="bC930tVvi70pw0s3+R+FLg==" spinCount="100000" sheet="1" selectLockedCells="1"/>
  <mergeCells count="48">
    <mergeCell ref="E25:F25"/>
    <mergeCell ref="A1:AB1"/>
    <mergeCell ref="A2:AB2"/>
    <mergeCell ref="L7:M7"/>
    <mergeCell ref="N7:O7"/>
    <mergeCell ref="Q7:R7"/>
    <mergeCell ref="S7:T7"/>
    <mergeCell ref="Z6:AB6"/>
    <mergeCell ref="W6:Y6"/>
    <mergeCell ref="A5:H5"/>
    <mergeCell ref="A6:H6"/>
    <mergeCell ref="I11:K11"/>
    <mergeCell ref="N11:X11"/>
    <mergeCell ref="L11:M11"/>
    <mergeCell ref="A7:H7"/>
    <mergeCell ref="J5:AB5"/>
    <mergeCell ref="J6:V6"/>
    <mergeCell ref="A10:H10"/>
    <mergeCell ref="I10:K10"/>
    <mergeCell ref="AF4:AG4"/>
    <mergeCell ref="I16:K16"/>
    <mergeCell ref="A15:H15"/>
    <mergeCell ref="I15:M15"/>
    <mergeCell ref="L10:M10"/>
    <mergeCell ref="N10:X10"/>
    <mergeCell ref="Y10:AA10"/>
    <mergeCell ref="Q16:R16"/>
    <mergeCell ref="Q17:R17"/>
    <mergeCell ref="A11:H11"/>
    <mergeCell ref="N15:R15"/>
    <mergeCell ref="S15:W15"/>
    <mergeCell ref="S17:W17"/>
    <mergeCell ref="S16:W16"/>
    <mergeCell ref="N16:P16"/>
    <mergeCell ref="N17:P17"/>
    <mergeCell ref="I17:K17"/>
    <mergeCell ref="L16:M16"/>
    <mergeCell ref="L17:M17"/>
    <mergeCell ref="A16:H16"/>
    <mergeCell ref="A17:H17"/>
    <mergeCell ref="AE18:AE20"/>
    <mergeCell ref="AF3:AK3"/>
    <mergeCell ref="AH4:AI4"/>
    <mergeCell ref="AJ4:AK4"/>
    <mergeCell ref="Z15:AB15"/>
    <mergeCell ref="Z16:AB16"/>
    <mergeCell ref="Y11:AA11"/>
    <mergeCell ref="Z17:AB17"/>
  </mergeCells>
  <phoneticPr fontId="2"/>
  <dataValidations count="1">
    <dataValidation type="list" allowBlank="1" showInputMessage="1" showErrorMessage="1" sqref="Z6:AB6" xr:uid="{00000000-0002-0000-0100-000000000000}">
      <formula1>"１地域,２地域,３地域,４地域,５地域,６地域,７地域,８地域"</formula1>
    </dataValidation>
  </dataValidations>
  <pageMargins left="0.59055118110236227" right="0.39370078740157483" top="0.98425196850393704" bottom="0.78740157480314965" header="0.31496062992125984" footer="0.39370078740157483"/>
  <pageSetup paperSize="9" scale="88" orientation="portrait" horizontalDpi="300" verticalDpi="300" r:id="rId1"/>
  <headerFooter>
    <oddHeader>&amp;Rver. 1.5（excel 2010）[H28]</oddHeader>
    <oddFooter>&amp;Cⓒ　2013 hyoukakyoukai.All right reserved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5" r:id="rId4" name="Option Button 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85725</xdr:rowOff>
                  </from>
                  <to>
                    <xdr:col>25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6" r:id="rId5" name="Option Button 6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85725</xdr:rowOff>
                  </from>
                  <to>
                    <xdr:col>25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7" r:id="rId6" name="Option Button 7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85725</xdr:rowOff>
                  </from>
                  <to>
                    <xdr:col>25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K209"/>
  <sheetViews>
    <sheetView view="pageBreakPreview" zoomScale="115" zoomScaleNormal="100" zoomScaleSheetLayoutView="115" workbookViewId="0">
      <selection activeCell="B3" sqref="B3"/>
    </sheetView>
  </sheetViews>
  <sheetFormatPr defaultRowHeight="15" customHeight="1" x14ac:dyDescent="0.15"/>
  <cols>
    <col min="1" max="1" width="5.125" style="27" customWidth="1"/>
    <col min="2" max="2" width="12.125" style="27" customWidth="1"/>
    <col min="3" max="3" width="27.5" style="27" customWidth="1"/>
    <col min="4" max="4" width="9.625" style="27" customWidth="1"/>
    <col min="5" max="5" width="22.875" style="27" customWidth="1"/>
    <col min="6" max="6" width="12.125" style="94" customWidth="1"/>
    <col min="7" max="8" width="9" style="27"/>
    <col min="9" max="9" width="9" style="2" hidden="1" customWidth="1"/>
    <col min="10" max="10" width="9" style="27" hidden="1" customWidth="1"/>
    <col min="11" max="11" width="9" style="2" hidden="1" customWidth="1"/>
    <col min="12" max="12" width="9" style="27" customWidth="1"/>
    <col min="13" max="16384" width="9" style="27"/>
  </cols>
  <sheetData>
    <row r="1" spans="1:11" ht="35.25" customHeight="1" x14ac:dyDescent="0.15">
      <c r="A1" s="327" t="s">
        <v>136</v>
      </c>
      <c r="B1" s="327"/>
      <c r="C1" s="327"/>
      <c r="D1" s="327"/>
      <c r="E1" s="327"/>
      <c r="F1" s="327"/>
      <c r="G1" s="28"/>
    </row>
    <row r="2" spans="1:11" ht="15" customHeight="1" thickBot="1" x14ac:dyDescent="0.2">
      <c r="A2" s="28"/>
      <c r="B2" s="28"/>
      <c r="C2" s="28"/>
      <c r="D2" s="28"/>
      <c r="E2" s="28"/>
      <c r="F2" s="88"/>
      <c r="G2" s="28"/>
    </row>
    <row r="3" spans="1:11" ht="35.25" customHeight="1" thickBot="1" x14ac:dyDescent="0.2">
      <c r="A3" s="28"/>
      <c r="B3" s="119"/>
      <c r="C3" s="28" t="s">
        <v>146</v>
      </c>
      <c r="D3" s="28"/>
      <c r="E3" s="28"/>
      <c r="F3" s="88"/>
      <c r="G3" s="28"/>
    </row>
    <row r="4" spans="1:11" ht="15" customHeight="1" thickBot="1" x14ac:dyDescent="0.2">
      <c r="A4" s="28"/>
      <c r="B4" s="28"/>
      <c r="C4" s="28"/>
      <c r="D4" s="28"/>
      <c r="E4" s="28"/>
      <c r="F4" s="88"/>
      <c r="G4" s="28"/>
    </row>
    <row r="5" spans="1:11" ht="19.5" customHeight="1" x14ac:dyDescent="0.15">
      <c r="A5" s="51"/>
      <c r="B5" s="338" t="s">
        <v>0</v>
      </c>
      <c r="C5" s="331" t="s">
        <v>137</v>
      </c>
      <c r="D5" s="332"/>
      <c r="E5" s="334" t="s">
        <v>138</v>
      </c>
      <c r="F5" s="336" t="s">
        <v>147</v>
      </c>
    </row>
    <row r="6" spans="1:11" ht="19.5" customHeight="1" thickBot="1" x14ac:dyDescent="0.2">
      <c r="A6" s="51"/>
      <c r="B6" s="339"/>
      <c r="C6" s="87" t="s">
        <v>139</v>
      </c>
      <c r="D6" s="86" t="s">
        <v>149</v>
      </c>
      <c r="E6" s="335"/>
      <c r="F6" s="337"/>
      <c r="I6" s="2" t="s">
        <v>148</v>
      </c>
      <c r="K6" s="2" t="s">
        <v>83</v>
      </c>
    </row>
    <row r="7" spans="1:11" ht="40.5" customHeight="1" x14ac:dyDescent="0.15">
      <c r="A7" s="333" t="s">
        <v>95</v>
      </c>
      <c r="B7" s="50" t="s">
        <v>111</v>
      </c>
      <c r="C7" s="120"/>
      <c r="D7" s="121"/>
      <c r="E7" s="122"/>
      <c r="F7" s="117" t="str">
        <f>IF($B$3="","-",IF(D7="","",1/(D7/I7)+K7))</f>
        <v>-</v>
      </c>
      <c r="I7" s="2" t="e">
        <f t="shared" ref="I7:I21" si="0">VLOOKUP(C7,$A$31:$B$209,2,0)</f>
        <v>#N/A</v>
      </c>
      <c r="K7" s="2" t="b">
        <f>IF($B$3="軸組構法等",VLOOKUP(E7,$E$32:$G$35,2,0),IF($B$3="枠組構法等",VLOOKUP(E7,$E$32:$G$35,3,0)))</f>
        <v>0</v>
      </c>
    </row>
    <row r="8" spans="1:11" ht="40.5" customHeight="1" x14ac:dyDescent="0.15">
      <c r="A8" s="329"/>
      <c r="B8" s="52" t="s">
        <v>97</v>
      </c>
      <c r="C8" s="123"/>
      <c r="D8" s="124"/>
      <c r="E8" s="125"/>
      <c r="F8" s="89" t="str">
        <f>IF($B$3="","-",IF(D8="","",1/(D8/I8)+K8))</f>
        <v>-</v>
      </c>
      <c r="I8" s="2" t="e">
        <f t="shared" si="0"/>
        <v>#N/A</v>
      </c>
      <c r="K8" s="2" t="b">
        <f>IF($B$3="軸組構法等",VLOOKUP(E8,$E$32:$G$35,2,0),IF($B$3="枠組構法等",VLOOKUP(E8,$E$32:$G$35,3,0)))</f>
        <v>0</v>
      </c>
    </row>
    <row r="9" spans="1:11" ht="40.5" customHeight="1" x14ac:dyDescent="0.15">
      <c r="A9" s="329"/>
      <c r="B9" s="52" t="s">
        <v>98</v>
      </c>
      <c r="C9" s="126"/>
      <c r="D9" s="127"/>
      <c r="E9" s="125"/>
      <c r="F9" s="90" t="str">
        <f>IF($B$3="","-",IF(D9="","",1/(D9/I9)+K9))</f>
        <v>-</v>
      </c>
      <c r="I9" s="2" t="e">
        <f t="shared" si="0"/>
        <v>#N/A</v>
      </c>
      <c r="K9" s="2" t="b">
        <f>IF($B$3="軸組構法等",VLOOKUP(E9,$E$32:$G$35,2,0),IF($B$3="枠組構法等",VLOOKUP(E9,$E$32:$G$35,3,0)))</f>
        <v>0</v>
      </c>
    </row>
    <row r="10" spans="1:11" ht="40.5" customHeight="1" x14ac:dyDescent="0.15">
      <c r="A10" s="328" t="s">
        <v>96</v>
      </c>
      <c r="B10" s="53" t="s">
        <v>99</v>
      </c>
      <c r="C10" s="128"/>
      <c r="D10" s="129"/>
      <c r="E10" s="130"/>
      <c r="F10" s="91" t="str">
        <f t="shared" ref="F10:F15" si="1">IF(D10="","",1/(D10/I10)+K10)</f>
        <v/>
      </c>
      <c r="I10" s="2" t="e">
        <f t="shared" si="0"/>
        <v>#N/A</v>
      </c>
      <c r="K10" s="2" t="e">
        <f>VLOOKUP(E10,$E$38:$F$40,2,0)</f>
        <v>#N/A</v>
      </c>
    </row>
    <row r="11" spans="1:11" ht="40.5" customHeight="1" x14ac:dyDescent="0.15">
      <c r="A11" s="329"/>
      <c r="B11" s="52" t="s">
        <v>100</v>
      </c>
      <c r="C11" s="123"/>
      <c r="D11" s="124"/>
      <c r="E11" s="125"/>
      <c r="F11" s="89" t="str">
        <f t="shared" si="1"/>
        <v/>
      </c>
      <c r="I11" s="2" t="e">
        <f t="shared" si="0"/>
        <v>#N/A</v>
      </c>
      <c r="K11" s="2" t="e">
        <f>VLOOKUP(E11,$E$38:$F$40,2,0)</f>
        <v>#N/A</v>
      </c>
    </row>
    <row r="12" spans="1:11" ht="40.5" customHeight="1" x14ac:dyDescent="0.15">
      <c r="A12" s="329"/>
      <c r="B12" s="52" t="s">
        <v>101</v>
      </c>
      <c r="C12" s="126"/>
      <c r="D12" s="127"/>
      <c r="E12" s="125"/>
      <c r="F12" s="90" t="str">
        <f t="shared" si="1"/>
        <v/>
      </c>
      <c r="I12" s="2" t="e">
        <f t="shared" si="0"/>
        <v>#N/A</v>
      </c>
      <c r="K12" s="2" t="e">
        <f>VLOOKUP(E12,$E$38:$F$40,2,0)</f>
        <v>#N/A</v>
      </c>
    </row>
    <row r="13" spans="1:11" ht="40.5" customHeight="1" x14ac:dyDescent="0.15">
      <c r="A13" s="328" t="s">
        <v>105</v>
      </c>
      <c r="B13" s="53" t="s">
        <v>106</v>
      </c>
      <c r="C13" s="128"/>
      <c r="D13" s="129"/>
      <c r="E13" s="130"/>
      <c r="F13" s="91" t="str">
        <f t="shared" si="1"/>
        <v/>
      </c>
      <c r="I13" s="2" t="e">
        <f t="shared" si="0"/>
        <v>#N/A</v>
      </c>
      <c r="K13" s="2" t="e">
        <f>VLOOKUP(E13,$E$36:$F$37,2,0)</f>
        <v>#N/A</v>
      </c>
    </row>
    <row r="14" spans="1:11" ht="40.5" customHeight="1" x14ac:dyDescent="0.15">
      <c r="A14" s="329"/>
      <c r="B14" s="52" t="s">
        <v>107</v>
      </c>
      <c r="C14" s="123"/>
      <c r="D14" s="124"/>
      <c r="E14" s="240"/>
      <c r="F14" s="89" t="str">
        <f t="shared" si="1"/>
        <v/>
      </c>
      <c r="I14" s="2" t="e">
        <f t="shared" si="0"/>
        <v>#N/A</v>
      </c>
      <c r="K14" s="2" t="e">
        <f>VLOOKUP(E14,$E$36:$F$37,2,0)</f>
        <v>#N/A</v>
      </c>
    </row>
    <row r="15" spans="1:11" ht="40.5" customHeight="1" x14ac:dyDescent="0.15">
      <c r="A15" s="329"/>
      <c r="B15" s="52" t="s">
        <v>108</v>
      </c>
      <c r="C15" s="126"/>
      <c r="D15" s="127"/>
      <c r="E15" s="240"/>
      <c r="F15" s="90" t="str">
        <f t="shared" si="1"/>
        <v/>
      </c>
      <c r="I15" s="2" t="e">
        <f t="shared" si="0"/>
        <v>#N/A</v>
      </c>
      <c r="K15" s="2" t="e">
        <f>VLOOKUP(E15,$E$36:$F$37,2,0)</f>
        <v>#N/A</v>
      </c>
    </row>
    <row r="16" spans="1:11" ht="40.5" customHeight="1" x14ac:dyDescent="0.15">
      <c r="A16" s="328" t="s">
        <v>127</v>
      </c>
      <c r="B16" s="53" t="s">
        <v>102</v>
      </c>
      <c r="C16" s="128"/>
      <c r="D16" s="129"/>
      <c r="E16" s="133" t="s">
        <v>145</v>
      </c>
      <c r="F16" s="91" t="str">
        <f t="shared" ref="F16:F21" si="2">IF($B$3="","-",IF(D16="","",1/(D16/I16)+K16))</f>
        <v>-</v>
      </c>
      <c r="I16" s="2" t="e">
        <f t="shared" si="0"/>
        <v>#N/A</v>
      </c>
      <c r="K16" s="2" t="b">
        <f t="shared" ref="K16:K21" si="3">IF($B$3="軸組構法等",0.13,IF($B$3="枠組構法等",0.08))</f>
        <v>0</v>
      </c>
    </row>
    <row r="17" spans="1:11" ht="40.5" customHeight="1" x14ac:dyDescent="0.15">
      <c r="A17" s="329"/>
      <c r="B17" s="52" t="s">
        <v>103</v>
      </c>
      <c r="C17" s="123"/>
      <c r="D17" s="124"/>
      <c r="E17" s="134" t="s">
        <v>144</v>
      </c>
      <c r="F17" s="89" t="str">
        <f t="shared" si="2"/>
        <v>-</v>
      </c>
      <c r="I17" s="2" t="e">
        <f t="shared" si="0"/>
        <v>#N/A</v>
      </c>
      <c r="K17" s="2" t="b">
        <f t="shared" si="3"/>
        <v>0</v>
      </c>
    </row>
    <row r="18" spans="1:11" ht="40.5" customHeight="1" x14ac:dyDescent="0.15">
      <c r="A18" s="329"/>
      <c r="B18" s="52" t="s">
        <v>104</v>
      </c>
      <c r="C18" s="126"/>
      <c r="D18" s="127"/>
      <c r="E18" s="134" t="s">
        <v>144</v>
      </c>
      <c r="F18" s="90" t="str">
        <f t="shared" si="2"/>
        <v>-</v>
      </c>
      <c r="I18" s="2" t="e">
        <f t="shared" si="0"/>
        <v>#N/A</v>
      </c>
      <c r="K18" s="2" t="b">
        <f t="shared" si="3"/>
        <v>0</v>
      </c>
    </row>
    <row r="19" spans="1:11" ht="40.5" customHeight="1" x14ac:dyDescent="0.15">
      <c r="A19" s="328" t="s">
        <v>128</v>
      </c>
      <c r="B19" s="53" t="s">
        <v>129</v>
      </c>
      <c r="C19" s="128"/>
      <c r="D19" s="129"/>
      <c r="E19" s="133" t="s">
        <v>144</v>
      </c>
      <c r="F19" s="91" t="str">
        <f t="shared" si="2"/>
        <v>-</v>
      </c>
      <c r="I19" s="2" t="e">
        <f t="shared" si="0"/>
        <v>#N/A</v>
      </c>
      <c r="K19" s="2" t="b">
        <f t="shared" si="3"/>
        <v>0</v>
      </c>
    </row>
    <row r="20" spans="1:11" ht="40.5" customHeight="1" x14ac:dyDescent="0.15">
      <c r="A20" s="329"/>
      <c r="B20" s="52" t="s">
        <v>130</v>
      </c>
      <c r="C20" s="123"/>
      <c r="D20" s="124"/>
      <c r="E20" s="134" t="s">
        <v>144</v>
      </c>
      <c r="F20" s="89" t="str">
        <f t="shared" si="2"/>
        <v>-</v>
      </c>
      <c r="I20" s="2" t="e">
        <f t="shared" si="0"/>
        <v>#N/A</v>
      </c>
      <c r="K20" s="2" t="b">
        <f t="shared" si="3"/>
        <v>0</v>
      </c>
    </row>
    <row r="21" spans="1:11" ht="40.5" customHeight="1" thickBot="1" x14ac:dyDescent="0.2">
      <c r="A21" s="330"/>
      <c r="B21" s="84" t="s">
        <v>131</v>
      </c>
      <c r="C21" s="131"/>
      <c r="D21" s="132"/>
      <c r="E21" s="135" t="s">
        <v>144</v>
      </c>
      <c r="F21" s="92" t="str">
        <f t="shared" si="2"/>
        <v>-</v>
      </c>
      <c r="I21" s="2" t="e">
        <f t="shared" si="0"/>
        <v>#N/A</v>
      </c>
      <c r="K21" s="2" t="b">
        <f t="shared" si="3"/>
        <v>0</v>
      </c>
    </row>
    <row r="22" spans="1:11" ht="30" customHeight="1" x14ac:dyDescent="0.15">
      <c r="A22" s="340" t="s">
        <v>874</v>
      </c>
      <c r="B22" s="340"/>
      <c r="C22" s="340"/>
      <c r="D22" s="340"/>
      <c r="E22" s="340"/>
      <c r="F22" s="340"/>
    </row>
    <row r="23" spans="1:11" ht="26.25" customHeight="1" x14ac:dyDescent="0.15">
      <c r="A23" s="341" t="s">
        <v>867</v>
      </c>
      <c r="B23" s="341"/>
      <c r="C23" s="341"/>
      <c r="D23" s="341"/>
      <c r="E23" s="341"/>
      <c r="F23" s="341"/>
    </row>
    <row r="30" spans="1:11" ht="15" hidden="1" customHeight="1" x14ac:dyDescent="0.15">
      <c r="D30" s="2"/>
      <c r="E30" s="2"/>
      <c r="F30" s="93" t="s">
        <v>151</v>
      </c>
      <c r="G30" s="2" t="s">
        <v>150</v>
      </c>
    </row>
    <row r="31" spans="1:11" ht="15" hidden="1" customHeight="1" x14ac:dyDescent="0.15">
      <c r="A31" s="168" t="s">
        <v>561</v>
      </c>
      <c r="B31" s="170">
        <v>5.1999999999999998E-2</v>
      </c>
      <c r="D31" s="234" t="s">
        <v>152</v>
      </c>
      <c r="E31" s="235" t="s">
        <v>153</v>
      </c>
      <c r="F31" s="236">
        <v>0.13</v>
      </c>
      <c r="G31" s="237">
        <v>0.08</v>
      </c>
    </row>
    <row r="32" spans="1:11" ht="15" hidden="1" customHeight="1" x14ac:dyDescent="0.15">
      <c r="A32" s="168" t="s">
        <v>562</v>
      </c>
      <c r="B32" s="170">
        <v>5.1999999999999998E-2</v>
      </c>
      <c r="D32" s="324" t="s">
        <v>1</v>
      </c>
      <c r="E32" s="231" t="s">
        <v>140</v>
      </c>
      <c r="F32" s="225">
        <v>0.09</v>
      </c>
      <c r="G32" s="226">
        <v>0.13</v>
      </c>
    </row>
    <row r="33" spans="1:7" ht="15" hidden="1" customHeight="1" x14ac:dyDescent="0.15">
      <c r="A33" s="168" t="s">
        <v>563</v>
      </c>
      <c r="B33" s="170">
        <v>0.04</v>
      </c>
      <c r="D33" s="325"/>
      <c r="E33" s="232" t="s">
        <v>374</v>
      </c>
      <c r="F33" s="227">
        <v>0.09</v>
      </c>
      <c r="G33" s="228">
        <v>0.13</v>
      </c>
    </row>
    <row r="34" spans="1:7" ht="15" hidden="1" customHeight="1" x14ac:dyDescent="0.15">
      <c r="A34" s="168" t="s">
        <v>564</v>
      </c>
      <c r="B34" s="170">
        <v>0.04</v>
      </c>
      <c r="D34" s="325"/>
      <c r="E34" s="232" t="s">
        <v>273</v>
      </c>
      <c r="F34" s="227">
        <v>0.04</v>
      </c>
      <c r="G34" s="228">
        <v>0.04</v>
      </c>
    </row>
    <row r="35" spans="1:7" ht="15" hidden="1" customHeight="1" x14ac:dyDescent="0.15">
      <c r="A35" s="168" t="s">
        <v>565</v>
      </c>
      <c r="B35" s="170">
        <v>4.7E-2</v>
      </c>
      <c r="D35" s="326"/>
      <c r="E35" s="233" t="s">
        <v>274</v>
      </c>
      <c r="F35" s="229">
        <v>0.02</v>
      </c>
      <c r="G35" s="230">
        <v>0.02</v>
      </c>
    </row>
    <row r="36" spans="1:7" ht="15" hidden="1" customHeight="1" x14ac:dyDescent="0.15">
      <c r="A36" s="168" t="s">
        <v>566</v>
      </c>
      <c r="B36" s="170">
        <v>3.9E-2</v>
      </c>
      <c r="D36" s="324" t="s">
        <v>105</v>
      </c>
      <c r="E36" s="231" t="s">
        <v>866</v>
      </c>
      <c r="F36" s="225">
        <v>0</v>
      </c>
      <c r="G36" s="226">
        <v>0</v>
      </c>
    </row>
    <row r="37" spans="1:7" ht="15" hidden="1" customHeight="1" x14ac:dyDescent="0.15">
      <c r="A37" s="168" t="s">
        <v>567</v>
      </c>
      <c r="B37" s="170">
        <v>0.04</v>
      </c>
      <c r="D37" s="326"/>
      <c r="E37" s="233" t="s">
        <v>143</v>
      </c>
      <c r="F37" s="229">
        <v>0.05</v>
      </c>
      <c r="G37" s="230">
        <v>0.05</v>
      </c>
    </row>
    <row r="38" spans="1:7" ht="15" hidden="1" customHeight="1" x14ac:dyDescent="0.15">
      <c r="A38" s="168" t="s">
        <v>568</v>
      </c>
      <c r="B38" s="170">
        <v>0.04</v>
      </c>
      <c r="D38" s="324" t="s">
        <v>96</v>
      </c>
      <c r="E38" s="231" t="s">
        <v>140</v>
      </c>
      <c r="F38" s="225">
        <v>0.11</v>
      </c>
      <c r="G38" s="226">
        <v>0.11</v>
      </c>
    </row>
    <row r="39" spans="1:7" ht="15" hidden="1" customHeight="1" x14ac:dyDescent="0.15">
      <c r="A39" s="168" t="s">
        <v>569</v>
      </c>
      <c r="B39" s="170">
        <v>0.04</v>
      </c>
      <c r="D39" s="325"/>
      <c r="E39" s="232" t="s">
        <v>141</v>
      </c>
      <c r="F39" s="227">
        <v>0.11</v>
      </c>
      <c r="G39" s="228">
        <v>0.11</v>
      </c>
    </row>
    <row r="40" spans="1:7" ht="15" hidden="1" customHeight="1" x14ac:dyDescent="0.15">
      <c r="A40" s="168" t="s">
        <v>570</v>
      </c>
      <c r="B40" s="170">
        <v>0.05</v>
      </c>
      <c r="D40" s="326"/>
      <c r="E40" s="233" t="s">
        <v>142</v>
      </c>
      <c r="F40" s="229">
        <v>0.02</v>
      </c>
      <c r="G40" s="230">
        <v>0.02</v>
      </c>
    </row>
    <row r="41" spans="1:7" ht="15" hidden="1" customHeight="1" x14ac:dyDescent="0.15">
      <c r="A41" s="168" t="s">
        <v>571</v>
      </c>
      <c r="B41" s="170">
        <v>4.9000000000000002E-2</v>
      </c>
    </row>
    <row r="42" spans="1:7" ht="15" hidden="1" customHeight="1" x14ac:dyDescent="0.15">
      <c r="A42" s="168" t="s">
        <v>572</v>
      </c>
      <c r="B42" s="170">
        <v>4.8000000000000001E-2</v>
      </c>
    </row>
    <row r="43" spans="1:7" ht="15" hidden="1" customHeight="1" x14ac:dyDescent="0.15">
      <c r="A43" s="168" t="s">
        <v>573</v>
      </c>
      <c r="B43" s="170">
        <v>4.4999999999999998E-2</v>
      </c>
    </row>
    <row r="44" spans="1:7" ht="15" hidden="1" customHeight="1" x14ac:dyDescent="0.15">
      <c r="A44" s="168" t="s">
        <v>574</v>
      </c>
      <c r="B44" s="170">
        <v>4.3999999999999997E-2</v>
      </c>
    </row>
    <row r="45" spans="1:7" ht="15" hidden="1" customHeight="1" x14ac:dyDescent="0.15">
      <c r="A45" s="168" t="s">
        <v>575</v>
      </c>
      <c r="B45" s="170">
        <v>4.4999999999999998E-2</v>
      </c>
    </row>
    <row r="46" spans="1:7" ht="15" hidden="1" customHeight="1" x14ac:dyDescent="0.15">
      <c r="A46" s="168" t="s">
        <v>576</v>
      </c>
      <c r="B46" s="170">
        <v>4.3999999999999997E-2</v>
      </c>
    </row>
    <row r="47" spans="1:7" ht="15" hidden="1" customHeight="1" x14ac:dyDescent="0.15">
      <c r="A47" s="168" t="s">
        <v>577</v>
      </c>
      <c r="B47" s="170">
        <v>4.2000000000000003E-2</v>
      </c>
    </row>
    <row r="48" spans="1:7" ht="15" hidden="1" customHeight="1" x14ac:dyDescent="0.15">
      <c r="A48" s="168" t="s">
        <v>578</v>
      </c>
      <c r="B48" s="170">
        <v>4.1000000000000002E-2</v>
      </c>
    </row>
    <row r="49" spans="1:2" ht="15" hidden="1" customHeight="1" x14ac:dyDescent="0.15">
      <c r="A49" s="168" t="s">
        <v>579</v>
      </c>
      <c r="B49" s="170">
        <v>0.04</v>
      </c>
    </row>
    <row r="50" spans="1:2" ht="15" hidden="1" customHeight="1" x14ac:dyDescent="0.15">
      <c r="A50" s="168" t="s">
        <v>580</v>
      </c>
      <c r="B50" s="170">
        <v>3.7999999999999999E-2</v>
      </c>
    </row>
    <row r="51" spans="1:2" ht="15" hidden="1" customHeight="1" x14ac:dyDescent="0.15">
      <c r="A51" s="168" t="s">
        <v>581</v>
      </c>
      <c r="B51" s="170">
        <v>3.5999999999999997E-2</v>
      </c>
    </row>
    <row r="52" spans="1:2" ht="15" hidden="1" customHeight="1" x14ac:dyDescent="0.15">
      <c r="A52" s="168" t="s">
        <v>582</v>
      </c>
      <c r="B52" s="170">
        <v>3.5999999999999997E-2</v>
      </c>
    </row>
    <row r="53" spans="1:2" ht="15" hidden="1" customHeight="1" x14ac:dyDescent="0.15">
      <c r="A53" s="168" t="s">
        <v>583</v>
      </c>
      <c r="B53" s="170">
        <v>3.5000000000000003E-2</v>
      </c>
    </row>
    <row r="54" spans="1:2" ht="15" hidden="1" customHeight="1" x14ac:dyDescent="0.15">
      <c r="A54" s="168" t="s">
        <v>584</v>
      </c>
      <c r="B54" s="170">
        <v>3.5000000000000003E-2</v>
      </c>
    </row>
    <row r="55" spans="1:2" ht="15" hidden="1" customHeight="1" x14ac:dyDescent="0.15">
      <c r="A55" s="168" t="s">
        <v>585</v>
      </c>
      <c r="B55" s="170">
        <v>3.3000000000000002E-2</v>
      </c>
    </row>
    <row r="56" spans="1:2" ht="15" hidden="1" customHeight="1" x14ac:dyDescent="0.15">
      <c r="A56" s="2" t="s">
        <v>586</v>
      </c>
      <c r="B56" s="93">
        <v>3.3000000000000002E-2</v>
      </c>
    </row>
    <row r="57" spans="1:2" ht="15" hidden="1" customHeight="1" x14ac:dyDescent="0.15">
      <c r="A57" s="2" t="s">
        <v>587</v>
      </c>
      <c r="B57" s="93">
        <v>4.7E-2</v>
      </c>
    </row>
    <row r="58" spans="1:2" ht="15" hidden="1" customHeight="1" x14ac:dyDescent="0.15">
      <c r="A58" s="2" t="s">
        <v>588</v>
      </c>
      <c r="B58" s="93">
        <v>4.5999999999999999E-2</v>
      </c>
    </row>
    <row r="59" spans="1:2" ht="15" hidden="1" customHeight="1" x14ac:dyDescent="0.15">
      <c r="A59" s="2" t="s">
        <v>589</v>
      </c>
      <c r="B59" s="93">
        <v>4.4999999999999998E-2</v>
      </c>
    </row>
    <row r="60" spans="1:2" ht="15" hidden="1" customHeight="1" x14ac:dyDescent="0.15">
      <c r="A60" s="2" t="s">
        <v>590</v>
      </c>
      <c r="B60" s="93">
        <v>4.3999999999999997E-2</v>
      </c>
    </row>
    <row r="61" spans="1:2" ht="15" hidden="1" customHeight="1" x14ac:dyDescent="0.15">
      <c r="A61" s="2" t="s">
        <v>591</v>
      </c>
      <c r="B61" s="93">
        <v>4.2999999999999997E-2</v>
      </c>
    </row>
    <row r="62" spans="1:2" ht="15" hidden="1" customHeight="1" x14ac:dyDescent="0.15">
      <c r="A62" s="2" t="s">
        <v>592</v>
      </c>
      <c r="B62" s="93">
        <v>4.2999999999999997E-2</v>
      </c>
    </row>
    <row r="63" spans="1:2" ht="15" hidden="1" customHeight="1" x14ac:dyDescent="0.15">
      <c r="A63" s="2" t="s">
        <v>593</v>
      </c>
      <c r="B63" s="93">
        <v>4.2000000000000003E-2</v>
      </c>
    </row>
    <row r="64" spans="1:2" ht="15" hidden="1" customHeight="1" x14ac:dyDescent="0.15">
      <c r="A64" s="2" t="s">
        <v>594</v>
      </c>
      <c r="B64" s="93">
        <v>4.1000000000000002E-2</v>
      </c>
    </row>
    <row r="65" spans="1:2" ht="15" hidden="1" customHeight="1" x14ac:dyDescent="0.15">
      <c r="A65" s="2" t="s">
        <v>595</v>
      </c>
      <c r="B65" s="93">
        <v>3.7999999999999999E-2</v>
      </c>
    </row>
    <row r="66" spans="1:2" ht="15" hidden="1" customHeight="1" x14ac:dyDescent="0.15">
      <c r="A66" s="2" t="s">
        <v>596</v>
      </c>
      <c r="B66" s="93">
        <v>3.6999999999999998E-2</v>
      </c>
    </row>
    <row r="67" spans="1:2" ht="15" hidden="1" customHeight="1" x14ac:dyDescent="0.15">
      <c r="A67" s="2" t="s">
        <v>597</v>
      </c>
      <c r="B67" s="93">
        <v>3.7999999999999999E-2</v>
      </c>
    </row>
    <row r="68" spans="1:2" ht="15" hidden="1" customHeight="1" x14ac:dyDescent="0.15">
      <c r="A68" s="2" t="s">
        <v>598</v>
      </c>
      <c r="B68" s="93">
        <v>3.6999999999999998E-2</v>
      </c>
    </row>
    <row r="69" spans="1:2" ht="15" hidden="1" customHeight="1" x14ac:dyDescent="0.15">
      <c r="A69" s="2" t="s">
        <v>599</v>
      </c>
      <c r="B69" s="93">
        <v>3.5999999999999997E-2</v>
      </c>
    </row>
    <row r="70" spans="1:2" ht="15" hidden="1" customHeight="1" x14ac:dyDescent="0.15">
      <c r="A70" s="2" t="s">
        <v>600</v>
      </c>
      <c r="B70" s="93">
        <v>3.7999999999999999E-2</v>
      </c>
    </row>
    <row r="71" spans="1:2" ht="15" hidden="1" customHeight="1" x14ac:dyDescent="0.15">
      <c r="A71" s="2" t="s">
        <v>601</v>
      </c>
      <c r="B71" s="93">
        <v>3.6999999999999998E-2</v>
      </c>
    </row>
    <row r="72" spans="1:2" ht="15" hidden="1" customHeight="1" x14ac:dyDescent="0.15">
      <c r="A72" s="2" t="s">
        <v>602</v>
      </c>
      <c r="B72" s="93">
        <v>3.5999999999999997E-2</v>
      </c>
    </row>
    <row r="73" spans="1:2" ht="15" hidden="1" customHeight="1" x14ac:dyDescent="0.15">
      <c r="A73" s="2" t="s">
        <v>603</v>
      </c>
      <c r="B73" s="93">
        <v>3.5000000000000003E-2</v>
      </c>
    </row>
    <row r="74" spans="1:2" ht="15" hidden="1" customHeight="1" x14ac:dyDescent="0.15">
      <c r="A74" s="2" t="s">
        <v>604</v>
      </c>
      <c r="B74" s="93">
        <v>3.4000000000000002E-2</v>
      </c>
    </row>
    <row r="75" spans="1:2" ht="15" hidden="1" customHeight="1" x14ac:dyDescent="0.15">
      <c r="A75" s="2" t="s">
        <v>605</v>
      </c>
      <c r="B75" s="93">
        <v>3.5999999999999997E-2</v>
      </c>
    </row>
    <row r="76" spans="1:2" ht="15" hidden="1" customHeight="1" x14ac:dyDescent="0.15">
      <c r="A76" s="2" t="s">
        <v>606</v>
      </c>
      <c r="B76" s="93">
        <v>3.5000000000000003E-2</v>
      </c>
    </row>
    <row r="77" spans="1:2" ht="15" hidden="1" customHeight="1" x14ac:dyDescent="0.15">
      <c r="A77" s="2" t="s">
        <v>607</v>
      </c>
      <c r="B77" s="93">
        <v>3.4000000000000002E-2</v>
      </c>
    </row>
    <row r="78" spans="1:2" ht="15" hidden="1" customHeight="1" x14ac:dyDescent="0.15">
      <c r="A78" s="2" t="s">
        <v>608</v>
      </c>
      <c r="B78" s="93">
        <v>3.3000000000000002E-2</v>
      </c>
    </row>
    <row r="79" spans="1:2" ht="15" hidden="1" customHeight="1" x14ac:dyDescent="0.15">
      <c r="A79" s="2" t="s">
        <v>609</v>
      </c>
      <c r="B79" s="93">
        <v>3.5000000000000003E-2</v>
      </c>
    </row>
    <row r="80" spans="1:2" ht="15" hidden="1" customHeight="1" x14ac:dyDescent="0.15">
      <c r="A80" s="2" t="s">
        <v>610</v>
      </c>
      <c r="B80" s="93">
        <v>3.4000000000000002E-2</v>
      </c>
    </row>
    <row r="81" spans="1:2" ht="15" hidden="1" customHeight="1" x14ac:dyDescent="0.15">
      <c r="A81" s="2" t="s">
        <v>611</v>
      </c>
      <c r="B81" s="93">
        <v>3.3000000000000002E-2</v>
      </c>
    </row>
    <row r="82" spans="1:2" ht="15" hidden="1" customHeight="1" x14ac:dyDescent="0.15">
      <c r="A82" s="2" t="s">
        <v>612</v>
      </c>
      <c r="B82" s="93">
        <v>3.5000000000000003E-2</v>
      </c>
    </row>
    <row r="83" spans="1:2" ht="15" hidden="1" customHeight="1" x14ac:dyDescent="0.15">
      <c r="A83" s="2" t="s">
        <v>613</v>
      </c>
      <c r="B83" s="93">
        <v>3.4000000000000002E-2</v>
      </c>
    </row>
    <row r="84" spans="1:2" ht="15" hidden="1" customHeight="1" x14ac:dyDescent="0.15">
      <c r="A84" s="2" t="s">
        <v>614</v>
      </c>
      <c r="B84" s="93">
        <v>3.3000000000000002E-2</v>
      </c>
    </row>
    <row r="85" spans="1:2" ht="15" hidden="1" customHeight="1" x14ac:dyDescent="0.15">
      <c r="A85" s="2" t="s">
        <v>615</v>
      </c>
      <c r="B85" s="93">
        <v>3.4000000000000002E-2</v>
      </c>
    </row>
    <row r="86" spans="1:2" ht="15" hidden="1" customHeight="1" x14ac:dyDescent="0.15">
      <c r="A86" s="2" t="s">
        <v>616</v>
      </c>
      <c r="B86" s="93">
        <v>3.3000000000000002E-2</v>
      </c>
    </row>
    <row r="87" spans="1:2" ht="15" hidden="1" customHeight="1" x14ac:dyDescent="0.15">
      <c r="A87" s="169" t="s">
        <v>617</v>
      </c>
      <c r="B87" s="171">
        <v>3.2000000000000001E-2</v>
      </c>
    </row>
    <row r="88" spans="1:2" ht="15" hidden="1" customHeight="1" x14ac:dyDescent="0.15">
      <c r="A88" s="169" t="s">
        <v>618</v>
      </c>
      <c r="B88" s="171">
        <v>3.1E-2</v>
      </c>
    </row>
    <row r="89" spans="1:2" ht="15" hidden="1" customHeight="1" x14ac:dyDescent="0.15">
      <c r="A89" s="169" t="s">
        <v>619</v>
      </c>
      <c r="B89" s="171">
        <v>3.4000000000000002E-2</v>
      </c>
    </row>
    <row r="90" spans="1:2" ht="15" hidden="1" customHeight="1" x14ac:dyDescent="0.15">
      <c r="A90" s="169" t="s">
        <v>620</v>
      </c>
      <c r="B90" s="171">
        <v>3.3000000000000002E-2</v>
      </c>
    </row>
    <row r="91" spans="1:2" ht="15" hidden="1" customHeight="1" x14ac:dyDescent="0.15">
      <c r="A91" s="169" t="s">
        <v>621</v>
      </c>
      <c r="B91" s="171">
        <v>3.2000000000000001E-2</v>
      </c>
    </row>
    <row r="92" spans="1:2" ht="15" hidden="1" customHeight="1" x14ac:dyDescent="0.15">
      <c r="A92" s="169" t="s">
        <v>622</v>
      </c>
      <c r="B92" s="171">
        <v>3.1E-2</v>
      </c>
    </row>
    <row r="93" spans="1:2" ht="15" hidden="1" customHeight="1" x14ac:dyDescent="0.15">
      <c r="A93" s="169" t="s">
        <v>623</v>
      </c>
      <c r="B93" s="171">
        <v>3.4000000000000002E-2</v>
      </c>
    </row>
    <row r="94" spans="1:2" ht="15" hidden="1" customHeight="1" x14ac:dyDescent="0.15">
      <c r="A94" s="169" t="s">
        <v>624</v>
      </c>
      <c r="B94" s="171">
        <v>3.3000000000000002E-2</v>
      </c>
    </row>
    <row r="95" spans="1:2" ht="15" hidden="1" customHeight="1" x14ac:dyDescent="0.15">
      <c r="A95" s="169" t="s">
        <v>625</v>
      </c>
      <c r="B95" s="171">
        <v>3.2000000000000001E-2</v>
      </c>
    </row>
    <row r="96" spans="1:2" ht="15" hidden="1" customHeight="1" x14ac:dyDescent="0.15">
      <c r="A96" s="169" t="s">
        <v>626</v>
      </c>
      <c r="B96" s="171">
        <v>3.3000000000000002E-2</v>
      </c>
    </row>
    <row r="97" spans="1:2" ht="15" hidden="1" customHeight="1" x14ac:dyDescent="0.15">
      <c r="A97" s="169" t="s">
        <v>627</v>
      </c>
      <c r="B97" s="171">
        <v>3.2000000000000001E-2</v>
      </c>
    </row>
    <row r="98" spans="1:2" ht="15" hidden="1" customHeight="1" x14ac:dyDescent="0.15">
      <c r="A98" s="169" t="s">
        <v>628</v>
      </c>
      <c r="B98" s="171">
        <v>3.1E-2</v>
      </c>
    </row>
    <row r="99" spans="1:2" ht="15" hidden="1" customHeight="1" x14ac:dyDescent="0.15">
      <c r="A99" s="169" t="s">
        <v>629</v>
      </c>
      <c r="B99" s="171">
        <v>4.4999999999999998E-2</v>
      </c>
    </row>
    <row r="100" spans="1:2" ht="15" hidden="1" customHeight="1" x14ac:dyDescent="0.15">
      <c r="A100" s="169" t="s">
        <v>630</v>
      </c>
      <c r="B100" s="171">
        <v>4.2999999999999997E-2</v>
      </c>
    </row>
    <row r="101" spans="1:2" ht="15" hidden="1" customHeight="1" x14ac:dyDescent="0.15">
      <c r="A101" s="169" t="s">
        <v>631</v>
      </c>
      <c r="B101" s="171">
        <v>4.1000000000000002E-2</v>
      </c>
    </row>
    <row r="102" spans="1:2" ht="15" hidden="1" customHeight="1" x14ac:dyDescent="0.15">
      <c r="A102" s="169" t="s">
        <v>632</v>
      </c>
      <c r="B102" s="171">
        <v>3.9E-2</v>
      </c>
    </row>
    <row r="103" spans="1:2" ht="15" hidden="1" customHeight="1" x14ac:dyDescent="0.15">
      <c r="A103" s="169" t="s">
        <v>633</v>
      </c>
      <c r="B103" s="171">
        <v>3.7999999999999999E-2</v>
      </c>
    </row>
    <row r="104" spans="1:2" ht="15" hidden="1" customHeight="1" x14ac:dyDescent="0.15">
      <c r="A104" s="169" t="s">
        <v>634</v>
      </c>
      <c r="B104" s="171">
        <v>3.6999999999999998E-2</v>
      </c>
    </row>
    <row r="105" spans="1:2" ht="15" hidden="1" customHeight="1" x14ac:dyDescent="0.15">
      <c r="A105" s="169" t="s">
        <v>635</v>
      </c>
      <c r="B105" s="171">
        <v>3.5999999999999997E-2</v>
      </c>
    </row>
    <row r="106" spans="1:2" ht="15" hidden="1" customHeight="1" x14ac:dyDescent="0.15">
      <c r="A106" s="169" t="s">
        <v>636</v>
      </c>
      <c r="B106" s="171">
        <v>3.5999999999999997E-2</v>
      </c>
    </row>
    <row r="107" spans="1:2" ht="15" hidden="1" customHeight="1" x14ac:dyDescent="0.15">
      <c r="A107" s="169" t="s">
        <v>637</v>
      </c>
      <c r="B107" s="171">
        <v>3.5000000000000003E-2</v>
      </c>
    </row>
    <row r="108" spans="1:2" ht="15" hidden="1" customHeight="1" x14ac:dyDescent="0.15">
      <c r="A108" s="169" t="s">
        <v>638</v>
      </c>
      <c r="B108" s="171">
        <v>3.4000000000000002E-2</v>
      </c>
    </row>
    <row r="109" spans="1:2" ht="15" hidden="1" customHeight="1" x14ac:dyDescent="0.15">
      <c r="A109" s="169" t="s">
        <v>639</v>
      </c>
      <c r="B109" s="171">
        <v>0.04</v>
      </c>
    </row>
    <row r="110" spans="1:2" ht="15" hidden="1" customHeight="1" x14ac:dyDescent="0.15">
      <c r="A110" s="169" t="s">
        <v>640</v>
      </c>
      <c r="B110" s="171">
        <v>5.1999999999999998E-2</v>
      </c>
    </row>
    <row r="111" spans="1:2" ht="15" hidden="1" customHeight="1" x14ac:dyDescent="0.15">
      <c r="A111" s="169" t="s">
        <v>641</v>
      </c>
      <c r="B111" s="171">
        <v>3.4000000000000002E-2</v>
      </c>
    </row>
    <row r="112" spans="1:2" ht="15" hidden="1" customHeight="1" x14ac:dyDescent="0.15">
      <c r="A112" s="169" t="s">
        <v>642</v>
      </c>
      <c r="B112" s="171">
        <v>3.5999999999999997E-2</v>
      </c>
    </row>
    <row r="113" spans="1:2" ht="15" hidden="1" customHeight="1" x14ac:dyDescent="0.15">
      <c r="A113" s="169" t="s">
        <v>643</v>
      </c>
      <c r="B113" s="171">
        <v>3.7999999999999999E-2</v>
      </c>
    </row>
    <row r="114" spans="1:2" ht="15" hidden="1" customHeight="1" x14ac:dyDescent="0.15">
      <c r="A114" s="169" t="s">
        <v>644</v>
      </c>
      <c r="B114" s="171">
        <v>4.1000000000000002E-2</v>
      </c>
    </row>
    <row r="115" spans="1:2" ht="15" hidden="1" customHeight="1" x14ac:dyDescent="0.15">
      <c r="A115" s="169" t="s">
        <v>645</v>
      </c>
      <c r="B115" s="171">
        <v>0.04</v>
      </c>
    </row>
    <row r="116" spans="1:2" ht="15" hidden="1" customHeight="1" x14ac:dyDescent="0.15">
      <c r="A116" s="169" t="s">
        <v>646</v>
      </c>
      <c r="B116" s="171">
        <v>3.7999999999999999E-2</v>
      </c>
    </row>
    <row r="117" spans="1:2" ht="15" hidden="1" customHeight="1" x14ac:dyDescent="0.15">
      <c r="A117" s="169" t="s">
        <v>647</v>
      </c>
      <c r="B117" s="171">
        <v>3.5999999999999997E-2</v>
      </c>
    </row>
    <row r="118" spans="1:2" ht="15" hidden="1" customHeight="1" x14ac:dyDescent="0.15">
      <c r="A118" s="169" t="s">
        <v>648</v>
      </c>
      <c r="B118" s="171">
        <v>3.4000000000000002E-2</v>
      </c>
    </row>
    <row r="119" spans="1:2" ht="15" hidden="1" customHeight="1" x14ac:dyDescent="0.15">
      <c r="A119" s="169" t="s">
        <v>649</v>
      </c>
      <c r="B119" s="171">
        <v>3.2000000000000001E-2</v>
      </c>
    </row>
    <row r="120" spans="1:2" ht="15" hidden="1" customHeight="1" x14ac:dyDescent="0.15">
      <c r="A120" s="169" t="s">
        <v>650</v>
      </c>
      <c r="B120" s="171">
        <v>0.03</v>
      </c>
    </row>
    <row r="121" spans="1:2" ht="15" hidden="1" customHeight="1" x14ac:dyDescent="0.15">
      <c r="A121" s="169" t="s">
        <v>651</v>
      </c>
      <c r="B121" s="171">
        <v>2.8000000000000001E-2</v>
      </c>
    </row>
    <row r="122" spans="1:2" ht="15" hidden="1" customHeight="1" x14ac:dyDescent="0.15">
      <c r="A122" s="169" t="s">
        <v>652</v>
      </c>
      <c r="B122" s="171">
        <v>2.5999999999999999E-2</v>
      </c>
    </row>
    <row r="123" spans="1:2" ht="15" hidden="1" customHeight="1" x14ac:dyDescent="0.15">
      <c r="A123" s="169" t="s">
        <v>653</v>
      </c>
      <c r="B123" s="171">
        <v>2.4E-2</v>
      </c>
    </row>
    <row r="124" spans="1:2" ht="15" hidden="1" customHeight="1" x14ac:dyDescent="0.15">
      <c r="A124" s="169" t="s">
        <v>654</v>
      </c>
      <c r="B124" s="171">
        <v>2.1999999999999999E-2</v>
      </c>
    </row>
    <row r="125" spans="1:2" ht="15" hidden="1" customHeight="1" x14ac:dyDescent="0.15">
      <c r="A125" s="169" t="s">
        <v>655</v>
      </c>
      <c r="B125" s="171">
        <v>2.8000000000000001E-2</v>
      </c>
    </row>
    <row r="126" spans="1:2" ht="15" hidden="1" customHeight="1" x14ac:dyDescent="0.15">
      <c r="A126" s="169" t="s">
        <v>656</v>
      </c>
      <c r="B126" s="171">
        <v>2.5999999999999999E-2</v>
      </c>
    </row>
    <row r="127" spans="1:2" ht="15" hidden="1" customHeight="1" x14ac:dyDescent="0.15">
      <c r="A127" s="169" t="s">
        <v>657</v>
      </c>
      <c r="B127" s="171">
        <v>2.4E-2</v>
      </c>
    </row>
    <row r="128" spans="1:2" ht="15" hidden="1" customHeight="1" x14ac:dyDescent="0.15">
      <c r="A128" s="169" t="s">
        <v>658</v>
      </c>
      <c r="B128" s="171">
        <v>2.1999999999999999E-2</v>
      </c>
    </row>
    <row r="129" spans="1:2" ht="15" hidden="1" customHeight="1" x14ac:dyDescent="0.15">
      <c r="A129" s="169" t="s">
        <v>659</v>
      </c>
      <c r="B129" s="171">
        <v>2.9000000000000001E-2</v>
      </c>
    </row>
    <row r="130" spans="1:2" ht="15" hidden="1" customHeight="1" x14ac:dyDescent="0.15">
      <c r="A130" s="169" t="s">
        <v>660</v>
      </c>
      <c r="B130" s="171">
        <v>2.3E-2</v>
      </c>
    </row>
    <row r="131" spans="1:2" ht="15" hidden="1" customHeight="1" x14ac:dyDescent="0.15">
      <c r="A131" s="169" t="s">
        <v>661</v>
      </c>
      <c r="B131" s="171">
        <v>2.4E-2</v>
      </c>
    </row>
    <row r="132" spans="1:2" ht="15" hidden="1" customHeight="1" x14ac:dyDescent="0.15">
      <c r="A132" s="169" t="s">
        <v>662</v>
      </c>
      <c r="B132" s="171">
        <v>2.7E-2</v>
      </c>
    </row>
    <row r="133" spans="1:2" ht="15" hidden="1" customHeight="1" x14ac:dyDescent="0.15">
      <c r="A133" s="169" t="s">
        <v>663</v>
      </c>
      <c r="B133" s="171">
        <v>2.8000000000000001E-2</v>
      </c>
    </row>
    <row r="134" spans="1:2" ht="15" hidden="1" customHeight="1" x14ac:dyDescent="0.15">
      <c r="A134" s="169" t="s">
        <v>664</v>
      </c>
      <c r="B134" s="171">
        <v>4.2000000000000003E-2</v>
      </c>
    </row>
    <row r="135" spans="1:2" ht="15" hidden="1" customHeight="1" x14ac:dyDescent="0.15">
      <c r="A135" s="169" t="s">
        <v>665</v>
      </c>
      <c r="B135" s="171">
        <v>4.2000000000000003E-2</v>
      </c>
    </row>
    <row r="136" spans="1:2" ht="15" hidden="1" customHeight="1" x14ac:dyDescent="0.15">
      <c r="A136" s="169" t="s">
        <v>666</v>
      </c>
      <c r="B136" s="171">
        <v>3.7999999999999999E-2</v>
      </c>
    </row>
    <row r="137" spans="1:2" ht="15" hidden="1" customHeight="1" x14ac:dyDescent="0.15">
      <c r="A137" s="169" t="s">
        <v>667</v>
      </c>
      <c r="B137" s="171">
        <v>3.4000000000000002E-2</v>
      </c>
    </row>
    <row r="138" spans="1:2" ht="15" hidden="1" customHeight="1" x14ac:dyDescent="0.15">
      <c r="A138" s="169" t="s">
        <v>668</v>
      </c>
      <c r="B138" s="171">
        <v>2.1999999999999999E-2</v>
      </c>
    </row>
    <row r="139" spans="1:2" ht="15" hidden="1" customHeight="1" x14ac:dyDescent="0.15">
      <c r="A139" s="169" t="s">
        <v>669</v>
      </c>
      <c r="B139" s="171">
        <v>2.1999999999999999E-2</v>
      </c>
    </row>
    <row r="140" spans="1:2" ht="15" hidden="1" customHeight="1" x14ac:dyDescent="0.15">
      <c r="A140" s="169" t="s">
        <v>670</v>
      </c>
      <c r="B140" s="171">
        <v>2.1000000000000001E-2</v>
      </c>
    </row>
    <row r="141" spans="1:2" ht="15" hidden="1" customHeight="1" x14ac:dyDescent="0.15">
      <c r="A141" s="169" t="s">
        <v>671</v>
      </c>
      <c r="B141" s="171">
        <v>2.1000000000000001E-2</v>
      </c>
    </row>
    <row r="142" spans="1:2" ht="15" hidden="1" customHeight="1" x14ac:dyDescent="0.15">
      <c r="A142" s="169" t="s">
        <v>672</v>
      </c>
      <c r="B142" s="171">
        <v>0.02</v>
      </c>
    </row>
    <row r="143" spans="1:2" ht="15" hidden="1" customHeight="1" x14ac:dyDescent="0.15">
      <c r="A143" s="169" t="s">
        <v>673</v>
      </c>
      <c r="B143" s="171">
        <v>0.02</v>
      </c>
    </row>
    <row r="144" spans="1:2" ht="15" hidden="1" customHeight="1" x14ac:dyDescent="0.15">
      <c r="A144" s="169" t="s">
        <v>674</v>
      </c>
      <c r="B144" s="171">
        <v>1.9E-2</v>
      </c>
    </row>
    <row r="145" spans="1:2" ht="15" hidden="1" customHeight="1" x14ac:dyDescent="0.15">
      <c r="A145" s="169" t="s">
        <v>675</v>
      </c>
      <c r="B145" s="171">
        <v>1.9E-2</v>
      </c>
    </row>
    <row r="146" spans="1:2" ht="15" hidden="1" customHeight="1" x14ac:dyDescent="0.15">
      <c r="A146" s="169" t="s">
        <v>676</v>
      </c>
      <c r="B146" s="171">
        <v>1.7999999999999999E-2</v>
      </c>
    </row>
    <row r="147" spans="1:2" ht="15" hidden="1" customHeight="1" x14ac:dyDescent="0.15">
      <c r="A147" s="169" t="s">
        <v>677</v>
      </c>
      <c r="B147" s="171">
        <v>1.7999999999999999E-2</v>
      </c>
    </row>
    <row r="148" spans="1:2" ht="15" hidden="1" customHeight="1" x14ac:dyDescent="0.15">
      <c r="A148" s="169" t="s">
        <v>678</v>
      </c>
      <c r="B148" s="171">
        <v>2.1999999999999999E-2</v>
      </c>
    </row>
    <row r="149" spans="1:2" ht="15" hidden="1" customHeight="1" x14ac:dyDescent="0.15">
      <c r="A149" s="169" t="s">
        <v>679</v>
      </c>
      <c r="B149" s="171">
        <v>2.1999999999999999E-2</v>
      </c>
    </row>
    <row r="150" spans="1:2" ht="15" hidden="1" customHeight="1" x14ac:dyDescent="0.15">
      <c r="A150" s="169" t="s">
        <v>680</v>
      </c>
      <c r="B150" s="171">
        <v>2.1000000000000001E-2</v>
      </c>
    </row>
    <row r="151" spans="1:2" ht="15" hidden="1" customHeight="1" x14ac:dyDescent="0.15">
      <c r="A151" s="169" t="s">
        <v>681</v>
      </c>
      <c r="B151" s="171">
        <v>2.1000000000000001E-2</v>
      </c>
    </row>
    <row r="152" spans="1:2" ht="15" hidden="1" customHeight="1" x14ac:dyDescent="0.15">
      <c r="A152" s="169" t="s">
        <v>682</v>
      </c>
      <c r="B152" s="171">
        <v>0.02</v>
      </c>
    </row>
    <row r="153" spans="1:2" ht="15" hidden="1" customHeight="1" x14ac:dyDescent="0.15">
      <c r="A153" s="169" t="s">
        <v>683</v>
      </c>
      <c r="B153" s="171">
        <v>0.02</v>
      </c>
    </row>
    <row r="154" spans="1:2" ht="15" hidden="1" customHeight="1" x14ac:dyDescent="0.15">
      <c r="A154" s="169" t="s">
        <v>684</v>
      </c>
      <c r="B154" s="171">
        <v>1.9E-2</v>
      </c>
    </row>
    <row r="155" spans="1:2" ht="15" hidden="1" customHeight="1" x14ac:dyDescent="0.15">
      <c r="A155" s="169" t="s">
        <v>685</v>
      </c>
      <c r="B155" s="171">
        <v>1.9E-2</v>
      </c>
    </row>
    <row r="156" spans="1:2" ht="15" hidden="1" customHeight="1" x14ac:dyDescent="0.15">
      <c r="A156" s="169" t="s">
        <v>686</v>
      </c>
      <c r="B156" s="171">
        <v>1.7999999999999999E-2</v>
      </c>
    </row>
    <row r="157" spans="1:2" ht="15" hidden="1" customHeight="1" x14ac:dyDescent="0.15">
      <c r="A157" s="169" t="s">
        <v>687</v>
      </c>
      <c r="B157" s="171">
        <v>1.7999999999999999E-2</v>
      </c>
    </row>
    <row r="158" spans="1:2" ht="15" hidden="1" customHeight="1" x14ac:dyDescent="0.15">
      <c r="A158" s="169" t="s">
        <v>688</v>
      </c>
      <c r="B158" s="171">
        <v>2.1999999999999999E-2</v>
      </c>
    </row>
    <row r="159" spans="1:2" ht="15" hidden="1" customHeight="1" x14ac:dyDescent="0.15">
      <c r="A159" s="169" t="s">
        <v>689</v>
      </c>
      <c r="B159" s="171">
        <v>2.1999999999999999E-2</v>
      </c>
    </row>
    <row r="160" spans="1:2" ht="15" hidden="1" customHeight="1" x14ac:dyDescent="0.15">
      <c r="A160" s="169" t="s">
        <v>690</v>
      </c>
      <c r="B160" s="171">
        <v>2.1000000000000001E-2</v>
      </c>
    </row>
    <row r="161" spans="1:2" ht="15" hidden="1" customHeight="1" x14ac:dyDescent="0.15">
      <c r="A161" s="169" t="s">
        <v>691</v>
      </c>
      <c r="B161" s="171">
        <v>2.1000000000000001E-2</v>
      </c>
    </row>
    <row r="162" spans="1:2" ht="15" hidden="1" customHeight="1" x14ac:dyDescent="0.15">
      <c r="A162" s="169" t="s">
        <v>692</v>
      </c>
      <c r="B162" s="171">
        <v>0.02</v>
      </c>
    </row>
    <row r="163" spans="1:2" ht="15" hidden="1" customHeight="1" x14ac:dyDescent="0.15">
      <c r="A163" s="169" t="s">
        <v>693</v>
      </c>
      <c r="B163" s="171">
        <v>0.02</v>
      </c>
    </row>
    <row r="164" spans="1:2" ht="15" hidden="1" customHeight="1" x14ac:dyDescent="0.15">
      <c r="A164" s="169" t="s">
        <v>694</v>
      </c>
      <c r="B164" s="171">
        <v>1.9E-2</v>
      </c>
    </row>
    <row r="165" spans="1:2" ht="15" hidden="1" customHeight="1" x14ac:dyDescent="0.15">
      <c r="A165" s="169" t="s">
        <v>695</v>
      </c>
      <c r="B165" s="171">
        <v>1.9E-2</v>
      </c>
    </row>
    <row r="166" spans="1:2" ht="15" hidden="1" customHeight="1" x14ac:dyDescent="0.15">
      <c r="A166" s="169" t="s">
        <v>696</v>
      </c>
      <c r="B166" s="171">
        <v>1.7999999999999999E-2</v>
      </c>
    </row>
    <row r="167" spans="1:2" ht="15" hidden="1" customHeight="1" x14ac:dyDescent="0.15">
      <c r="A167" s="169" t="s">
        <v>697</v>
      </c>
      <c r="B167" s="171">
        <v>1.7999999999999999E-2</v>
      </c>
    </row>
    <row r="168" spans="1:2" ht="15" hidden="1" customHeight="1" x14ac:dyDescent="0.15">
      <c r="A168" s="169" t="s">
        <v>698</v>
      </c>
      <c r="B168" s="171">
        <v>3.5999999999999997E-2</v>
      </c>
    </row>
    <row r="169" spans="1:2" ht="15" hidden="1" customHeight="1" x14ac:dyDescent="0.15">
      <c r="A169" s="169" t="s">
        <v>699</v>
      </c>
      <c r="B169" s="171">
        <v>3.5999999999999997E-2</v>
      </c>
    </row>
    <row r="170" spans="1:2" ht="15" hidden="1" customHeight="1" x14ac:dyDescent="0.15">
      <c r="A170" s="169" t="s">
        <v>700</v>
      </c>
      <c r="B170" s="171">
        <v>3.4000000000000002E-2</v>
      </c>
    </row>
    <row r="171" spans="1:2" ht="15" hidden="1" customHeight="1" x14ac:dyDescent="0.15">
      <c r="A171" s="169" t="s">
        <v>701</v>
      </c>
      <c r="B171" s="171">
        <v>3.4000000000000002E-2</v>
      </c>
    </row>
    <row r="172" spans="1:2" ht="15" hidden="1" customHeight="1" x14ac:dyDescent="0.15">
      <c r="A172" s="169" t="s">
        <v>702</v>
      </c>
      <c r="B172" s="171">
        <v>2.8000000000000001E-2</v>
      </c>
    </row>
    <row r="173" spans="1:2" ht="15" hidden="1" customHeight="1" x14ac:dyDescent="0.15">
      <c r="A173" s="169" t="s">
        <v>703</v>
      </c>
      <c r="B173" s="171">
        <v>2.8000000000000001E-2</v>
      </c>
    </row>
    <row r="174" spans="1:2" ht="15" hidden="1" customHeight="1" x14ac:dyDescent="0.15">
      <c r="A174" s="169" t="s">
        <v>704</v>
      </c>
      <c r="B174" s="171">
        <v>3.5000000000000003E-2</v>
      </c>
    </row>
    <row r="175" spans="1:2" ht="15" hidden="1" customHeight="1" x14ac:dyDescent="0.15">
      <c r="A175" s="169" t="s">
        <v>705</v>
      </c>
      <c r="B175" s="171">
        <v>3.5000000000000003E-2</v>
      </c>
    </row>
    <row r="176" spans="1:2" ht="15" hidden="1" customHeight="1" x14ac:dyDescent="0.15">
      <c r="A176" s="169" t="s">
        <v>706</v>
      </c>
      <c r="B176" s="171">
        <v>3.4000000000000002E-2</v>
      </c>
    </row>
    <row r="177" spans="1:2" ht="15" hidden="1" customHeight="1" x14ac:dyDescent="0.15">
      <c r="A177" s="169" t="s">
        <v>707</v>
      </c>
      <c r="B177" s="171">
        <v>3.4000000000000002E-2</v>
      </c>
    </row>
    <row r="178" spans="1:2" ht="15" hidden="1" customHeight="1" x14ac:dyDescent="0.15">
      <c r="A178" s="169" t="s">
        <v>708</v>
      </c>
      <c r="B178" s="171">
        <v>0.04</v>
      </c>
    </row>
    <row r="179" spans="1:2" ht="15" hidden="1" customHeight="1" x14ac:dyDescent="0.15">
      <c r="A179" s="2" t="s">
        <v>741</v>
      </c>
      <c r="B179" s="2">
        <v>3.4000000000000002E-2</v>
      </c>
    </row>
    <row r="180" spans="1:2" ht="15" hidden="1" customHeight="1" x14ac:dyDescent="0.15">
      <c r="A180" s="2" t="s">
        <v>742</v>
      </c>
      <c r="B180" s="2">
        <v>3.5999999999999997E-2</v>
      </c>
    </row>
    <row r="181" spans="1:2" ht="15" hidden="1" customHeight="1" x14ac:dyDescent="0.15">
      <c r="A181" s="2" t="s">
        <v>743</v>
      </c>
      <c r="B181" s="2">
        <v>3.6999999999999998E-2</v>
      </c>
    </row>
    <row r="182" spans="1:2" ht="15" hidden="1" customHeight="1" x14ac:dyDescent="0.15">
      <c r="A182" s="2" t="s">
        <v>744</v>
      </c>
      <c r="B182" s="2">
        <v>0.04</v>
      </c>
    </row>
    <row r="183" spans="1:2" ht="15" hidden="1" customHeight="1" x14ac:dyDescent="0.15">
      <c r="A183" s="2" t="s">
        <v>745</v>
      </c>
      <c r="B183" s="2">
        <v>4.2999999999999997E-2</v>
      </c>
    </row>
    <row r="184" spans="1:2" ht="15" hidden="1" customHeight="1" x14ac:dyDescent="0.15">
      <c r="A184" s="2" t="s">
        <v>747</v>
      </c>
      <c r="B184" s="2">
        <v>0.04</v>
      </c>
    </row>
    <row r="185" spans="1:2" ht="15" hidden="1" customHeight="1" x14ac:dyDescent="0.15">
      <c r="A185" s="2" t="s">
        <v>748</v>
      </c>
      <c r="B185" s="2">
        <v>0.04</v>
      </c>
    </row>
    <row r="186" spans="1:2" ht="15" hidden="1" customHeight="1" x14ac:dyDescent="0.15">
      <c r="A186" s="2" t="s">
        <v>749</v>
      </c>
      <c r="B186" s="2">
        <v>3.4000000000000002E-2</v>
      </c>
    </row>
    <row r="187" spans="1:2" ht="15" hidden="1" customHeight="1" x14ac:dyDescent="0.15">
      <c r="A187" s="2" t="s">
        <v>750</v>
      </c>
      <c r="B187" s="2">
        <v>3.4000000000000002E-2</v>
      </c>
    </row>
    <row r="188" spans="1:2" ht="15" hidden="1" customHeight="1" x14ac:dyDescent="0.15">
      <c r="A188" s="2" t="s">
        <v>751</v>
      </c>
      <c r="B188" s="2">
        <v>2.8000000000000001E-2</v>
      </c>
    </row>
    <row r="189" spans="1:2" ht="15" hidden="1" customHeight="1" x14ac:dyDescent="0.15">
      <c r="A189" s="2" t="s">
        <v>752</v>
      </c>
      <c r="B189" s="2">
        <v>2.8000000000000001E-2</v>
      </c>
    </row>
    <row r="190" spans="1:2" ht="15" hidden="1" customHeight="1" x14ac:dyDescent="0.15">
      <c r="A190" s="2" t="s">
        <v>754</v>
      </c>
      <c r="B190" s="2">
        <v>2.9000000000000001E-2</v>
      </c>
    </row>
    <row r="191" spans="1:2" ht="15" hidden="1" customHeight="1" x14ac:dyDescent="0.15">
      <c r="A191" s="2" t="s">
        <v>755</v>
      </c>
      <c r="B191" s="2">
        <v>2.3E-2</v>
      </c>
    </row>
    <row r="192" spans="1:2" ht="15" hidden="1" customHeight="1" x14ac:dyDescent="0.15">
      <c r="A192" s="2" t="s">
        <v>756</v>
      </c>
      <c r="B192" s="2">
        <v>2.4E-2</v>
      </c>
    </row>
    <row r="193" spans="1:2" ht="15" hidden="1" customHeight="1" x14ac:dyDescent="0.15">
      <c r="A193" s="2" t="s">
        <v>757</v>
      </c>
      <c r="B193" s="2">
        <v>2.7E-2</v>
      </c>
    </row>
    <row r="194" spans="1:2" ht="15" hidden="1" customHeight="1" x14ac:dyDescent="0.15">
      <c r="A194" s="2" t="s">
        <v>758</v>
      </c>
      <c r="B194" s="2">
        <v>2.8000000000000001E-2</v>
      </c>
    </row>
    <row r="195" spans="1:2" ht="15" hidden="1" customHeight="1" x14ac:dyDescent="0.15">
      <c r="A195" s="2" t="s">
        <v>759</v>
      </c>
      <c r="B195" s="2">
        <v>2.4E-2</v>
      </c>
    </row>
    <row r="196" spans="1:2" ht="15" hidden="1" customHeight="1" x14ac:dyDescent="0.15">
      <c r="A196" s="2" t="s">
        <v>760</v>
      </c>
      <c r="B196" s="2">
        <v>2.5000000000000001E-2</v>
      </c>
    </row>
    <row r="197" spans="1:2" ht="15" hidden="1" customHeight="1" x14ac:dyDescent="0.15">
      <c r="A197" s="2" t="s">
        <v>761</v>
      </c>
      <c r="B197" s="2">
        <v>2.3E-2</v>
      </c>
    </row>
    <row r="198" spans="1:2" ht="15" hidden="1" customHeight="1" x14ac:dyDescent="0.15">
      <c r="A198" s="2" t="s">
        <v>762</v>
      </c>
      <c r="B198" s="2">
        <v>2.4E-2</v>
      </c>
    </row>
    <row r="199" spans="1:2" ht="15" hidden="1" customHeight="1" x14ac:dyDescent="0.15">
      <c r="A199" s="2" t="s">
        <v>763</v>
      </c>
      <c r="B199" s="2">
        <v>4.2000000000000003E-2</v>
      </c>
    </row>
    <row r="200" spans="1:2" ht="15" hidden="1" customHeight="1" x14ac:dyDescent="0.15">
      <c r="A200" s="2" t="s">
        <v>764</v>
      </c>
      <c r="B200" s="2">
        <v>4.2000000000000003E-2</v>
      </c>
    </row>
    <row r="201" spans="1:2" ht="15" hidden="1" customHeight="1" x14ac:dyDescent="0.15">
      <c r="A201" s="2" t="s">
        <v>765</v>
      </c>
      <c r="B201" s="2">
        <v>3.7999999999999999E-2</v>
      </c>
    </row>
    <row r="202" spans="1:2" ht="15" hidden="1" customHeight="1" x14ac:dyDescent="0.15">
      <c r="A202" s="2" t="s">
        <v>766</v>
      </c>
      <c r="B202" s="2">
        <v>3.4000000000000002E-2</v>
      </c>
    </row>
    <row r="203" spans="1:2" ht="15" hidden="1" customHeight="1" x14ac:dyDescent="0.15">
      <c r="A203" s="2" t="s">
        <v>767</v>
      </c>
      <c r="B203" s="2">
        <v>2.1999999999999999E-2</v>
      </c>
    </row>
    <row r="204" spans="1:2" ht="15" hidden="1" customHeight="1" x14ac:dyDescent="0.15">
      <c r="A204" s="2" t="s">
        <v>768</v>
      </c>
      <c r="B204" s="2">
        <v>2.1999999999999999E-2</v>
      </c>
    </row>
    <row r="205" spans="1:2" ht="15" hidden="1" customHeight="1" x14ac:dyDescent="0.15">
      <c r="A205" s="2" t="s">
        <v>769</v>
      </c>
      <c r="B205" s="2">
        <v>3.5999999999999997E-2</v>
      </c>
    </row>
    <row r="206" spans="1:2" ht="15" hidden="1" customHeight="1" x14ac:dyDescent="0.15">
      <c r="A206" s="2" t="s">
        <v>770</v>
      </c>
      <c r="B206" s="2">
        <v>3.4000000000000002E-2</v>
      </c>
    </row>
    <row r="207" spans="1:2" ht="15" hidden="1" customHeight="1" x14ac:dyDescent="0.15">
      <c r="A207" s="2" t="s">
        <v>771</v>
      </c>
      <c r="B207" s="2">
        <v>2.8000000000000001E-2</v>
      </c>
    </row>
    <row r="208" spans="1:2" ht="15" hidden="1" customHeight="1" x14ac:dyDescent="0.15">
      <c r="A208" s="2" t="s">
        <v>772</v>
      </c>
      <c r="B208" s="2">
        <v>3.5000000000000003E-2</v>
      </c>
    </row>
    <row r="209" spans="1:2" ht="15" hidden="1" customHeight="1" x14ac:dyDescent="0.15">
      <c r="A209" s="2" t="s">
        <v>773</v>
      </c>
      <c r="B209" s="2">
        <v>3.5000000000000003E-2</v>
      </c>
    </row>
  </sheetData>
  <sheetProtection algorithmName="SHA-512" hashValue="sfiaA59b/iPV+tQkQ+0QnXBLfNqvJQcAu9l1OkW+zM11glbzwbcgSMAiR3RNQ36xkCh7bE6y2iWwWlPmBhbWmQ==" saltValue="k9buohVfAsB2g4KyaHk7iw==" spinCount="100000" sheet="1" objects="1" scenarios="1" selectLockedCells="1"/>
  <mergeCells count="15">
    <mergeCell ref="D38:D40"/>
    <mergeCell ref="A1:F1"/>
    <mergeCell ref="A19:A21"/>
    <mergeCell ref="A16:A18"/>
    <mergeCell ref="A13:A15"/>
    <mergeCell ref="A10:A12"/>
    <mergeCell ref="C5:D5"/>
    <mergeCell ref="A7:A9"/>
    <mergeCell ref="E5:E6"/>
    <mergeCell ref="F5:F6"/>
    <mergeCell ref="B5:B6"/>
    <mergeCell ref="D32:D35"/>
    <mergeCell ref="D36:D37"/>
    <mergeCell ref="A22:F22"/>
    <mergeCell ref="A23:F23"/>
  </mergeCells>
  <phoneticPr fontId="2"/>
  <dataValidations count="5">
    <dataValidation type="list" allowBlank="1" showInputMessage="1" showErrorMessage="1" sqref="E10:E12" xr:uid="{00000000-0002-0000-0200-000000000000}">
      <formula1>"充填断熱,充填断熱＋外張断熱,外張断熱"</formula1>
    </dataValidation>
    <dataValidation type="list" allowBlank="1" showInputMessage="1" showErrorMessage="1" sqref="E13:E15" xr:uid="{00000000-0002-0000-0200-000001000000}">
      <formula1>"充填断熱（桁上断熱）※1,桁間断熱"</formula1>
    </dataValidation>
    <dataValidation type="list" allowBlank="1" showInputMessage="1" showErrorMessage="1" sqref="B3" xr:uid="{00000000-0002-0000-0200-000002000000}">
      <formula1>"軸組構法等,枠組構法等"</formula1>
    </dataValidation>
    <dataValidation type="list" allowBlank="1" showInputMessage="1" showErrorMessage="1" sqref="E7:E9" xr:uid="{00000000-0002-0000-0200-000003000000}">
      <formula1>外壁断熱工法</formula1>
    </dataValidation>
    <dataValidation type="list" allowBlank="1" showInputMessage="1" showErrorMessage="1" sqref="C19:C21 C7:C18" xr:uid="{00000000-0002-0000-0200-000004000000}">
      <formula1>材料名</formula1>
    </dataValidation>
  </dataValidations>
  <printOptions horizontalCentered="1" verticalCentered="1"/>
  <pageMargins left="0.59055118110236227" right="0.39370078740157483" top="0.74803149606299213" bottom="0.47244094488188981" header="0.31496062992125984" footer="0.15748031496062992"/>
  <pageSetup paperSize="9" scale="96" orientation="portrait" horizontalDpi="300" verticalDpi="300" r:id="rId1"/>
  <headerFooter>
    <oddHeader>&amp;Rver. 1.5（excel 2010）[H28]</oddHeader>
    <oddFooter>&amp;Cⓒ　2013 hyoukakyoukai.All right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H156"/>
  <sheetViews>
    <sheetView view="pageBreakPreview" zoomScaleNormal="100" zoomScaleSheetLayoutView="100" workbookViewId="0">
      <selection activeCell="A163" sqref="A163"/>
    </sheetView>
  </sheetViews>
  <sheetFormatPr defaultRowHeight="13.5" x14ac:dyDescent="0.15"/>
  <cols>
    <col min="1" max="1" width="3.125" style="1" customWidth="1"/>
    <col min="2" max="2" width="34.875" style="1" customWidth="1"/>
    <col min="3" max="3" width="22.375" style="1" customWidth="1"/>
    <col min="4" max="4" width="18" style="1" customWidth="1"/>
    <col min="5" max="5" width="9" style="1"/>
    <col min="6" max="6" width="34.875" style="1" customWidth="1"/>
    <col min="7" max="7" width="22.375" style="1" customWidth="1"/>
    <col min="8" max="8" width="18" style="1" customWidth="1"/>
    <col min="9" max="16384" width="9" style="1"/>
  </cols>
  <sheetData>
    <row r="1" spans="2:8" ht="42" customHeight="1" thickBot="1" x14ac:dyDescent="0.2">
      <c r="B1" s="163" t="s">
        <v>709</v>
      </c>
    </row>
    <row r="2" spans="2:8" ht="14.25" thickBot="1" x14ac:dyDescent="0.2">
      <c r="B2" s="345" t="s">
        <v>560</v>
      </c>
      <c r="C2" s="346"/>
      <c r="D2" s="150" t="s">
        <v>403</v>
      </c>
    </row>
    <row r="3" spans="2:8" x14ac:dyDescent="0.15">
      <c r="B3" s="342" t="s">
        <v>400</v>
      </c>
      <c r="C3" s="151" t="s">
        <v>401</v>
      </c>
      <c r="D3" s="157">
        <v>5.1999999999999998E-2</v>
      </c>
    </row>
    <row r="4" spans="2:8" x14ac:dyDescent="0.15">
      <c r="B4" s="343"/>
      <c r="C4" s="152" t="s">
        <v>402</v>
      </c>
      <c r="D4" s="158">
        <v>5.1999999999999998E-2</v>
      </c>
    </row>
    <row r="5" spans="2:8" x14ac:dyDescent="0.15">
      <c r="B5" s="343"/>
      <c r="C5" s="152" t="s">
        <v>404</v>
      </c>
      <c r="D5" s="158">
        <v>0.04</v>
      </c>
    </row>
    <row r="6" spans="2:8" ht="14.25" thickBot="1" x14ac:dyDescent="0.2">
      <c r="B6" s="344"/>
      <c r="C6" s="153" t="s">
        <v>405</v>
      </c>
      <c r="D6" s="159">
        <v>0.04</v>
      </c>
    </row>
    <row r="7" spans="2:8" x14ac:dyDescent="0.15">
      <c r="B7" s="343" t="s">
        <v>406</v>
      </c>
      <c r="C7" s="151" t="s">
        <v>407</v>
      </c>
      <c r="D7" s="157">
        <v>4.7E-2</v>
      </c>
    </row>
    <row r="8" spans="2:8" ht="14.25" thickBot="1" x14ac:dyDescent="0.2">
      <c r="B8" s="343"/>
      <c r="C8" s="153" t="s">
        <v>408</v>
      </c>
      <c r="D8" s="159">
        <v>3.9E-2</v>
      </c>
    </row>
    <row r="9" spans="2:8" x14ac:dyDescent="0.15">
      <c r="B9" s="342" t="s">
        <v>409</v>
      </c>
      <c r="C9" s="151" t="s">
        <v>407</v>
      </c>
      <c r="D9" s="157">
        <v>0.04</v>
      </c>
    </row>
    <row r="10" spans="2:8" x14ac:dyDescent="0.15">
      <c r="B10" s="343"/>
      <c r="C10" s="152" t="s">
        <v>410</v>
      </c>
      <c r="D10" s="158">
        <v>0.04</v>
      </c>
    </row>
    <row r="11" spans="2:8" ht="14.25" thickBot="1" x14ac:dyDescent="0.2">
      <c r="B11" s="344"/>
      <c r="C11" s="153" t="s">
        <v>411</v>
      </c>
      <c r="D11" s="159">
        <v>0.04</v>
      </c>
    </row>
    <row r="12" spans="2:8" x14ac:dyDescent="0.15">
      <c r="B12" s="172"/>
      <c r="C12" s="173"/>
      <c r="D12" s="174"/>
    </row>
    <row r="13" spans="2:8" ht="42" customHeight="1" thickBot="1" x14ac:dyDescent="0.2">
      <c r="B13" s="176" t="s">
        <v>710</v>
      </c>
      <c r="C13" s="108"/>
      <c r="D13" s="175"/>
      <c r="F13" s="176" t="s">
        <v>731</v>
      </c>
    </row>
    <row r="14" spans="2:8" ht="14.25" customHeight="1" thickBot="1" x14ac:dyDescent="0.2">
      <c r="B14" s="345" t="s">
        <v>560</v>
      </c>
      <c r="C14" s="346"/>
      <c r="D14" s="150" t="s">
        <v>403</v>
      </c>
      <c r="F14" s="345" t="s">
        <v>560</v>
      </c>
      <c r="G14" s="346"/>
      <c r="H14" s="150" t="s">
        <v>403</v>
      </c>
    </row>
    <row r="15" spans="2:8" x14ac:dyDescent="0.15">
      <c r="B15" s="342" t="s">
        <v>412</v>
      </c>
      <c r="C15" s="154" t="s">
        <v>413</v>
      </c>
      <c r="D15" s="160">
        <v>0.05</v>
      </c>
      <c r="F15" s="349" t="s">
        <v>740</v>
      </c>
      <c r="G15" s="178" t="s">
        <v>711</v>
      </c>
      <c r="H15" s="183">
        <v>3.4000000000000002E-2</v>
      </c>
    </row>
    <row r="16" spans="2:8" x14ac:dyDescent="0.15">
      <c r="B16" s="343"/>
      <c r="C16" s="155" t="s">
        <v>414</v>
      </c>
      <c r="D16" s="161">
        <v>4.9000000000000002E-2</v>
      </c>
      <c r="F16" s="347"/>
      <c r="G16" s="188" t="s">
        <v>713</v>
      </c>
      <c r="H16" s="189">
        <v>3.5999999999999997E-2</v>
      </c>
    </row>
    <row r="17" spans="2:8" x14ac:dyDescent="0.15">
      <c r="B17" s="343"/>
      <c r="C17" s="155" t="s">
        <v>415</v>
      </c>
      <c r="D17" s="161">
        <v>4.8000000000000001E-2</v>
      </c>
      <c r="F17" s="347"/>
      <c r="G17" s="179" t="s">
        <v>714</v>
      </c>
      <c r="H17" s="184">
        <v>3.6999999999999998E-2</v>
      </c>
    </row>
    <row r="18" spans="2:8" x14ac:dyDescent="0.15">
      <c r="B18" s="343"/>
      <c r="C18" s="155" t="s">
        <v>416</v>
      </c>
      <c r="D18" s="161">
        <v>4.4999999999999998E-2</v>
      </c>
      <c r="F18" s="347"/>
      <c r="G18" s="188" t="s">
        <v>715</v>
      </c>
      <c r="H18" s="189">
        <v>0.04</v>
      </c>
    </row>
    <row r="19" spans="2:8" ht="14.25" thickBot="1" x14ac:dyDescent="0.2">
      <c r="B19" s="343"/>
      <c r="C19" s="155" t="s">
        <v>417</v>
      </c>
      <c r="D19" s="161">
        <v>4.3999999999999997E-2</v>
      </c>
      <c r="F19" s="347"/>
      <c r="G19" s="181" t="s">
        <v>716</v>
      </c>
      <c r="H19" s="185">
        <v>4.2999999999999997E-2</v>
      </c>
    </row>
    <row r="20" spans="2:8" ht="14.25" thickBot="1" x14ac:dyDescent="0.2">
      <c r="B20" s="343"/>
      <c r="C20" s="155" t="s">
        <v>418</v>
      </c>
      <c r="D20" s="161">
        <v>4.4999999999999998E-2</v>
      </c>
      <c r="F20" s="350" t="s">
        <v>746</v>
      </c>
      <c r="G20" s="178" t="s">
        <v>717</v>
      </c>
      <c r="H20" s="183">
        <v>0.04</v>
      </c>
    </row>
    <row r="21" spans="2:8" ht="14.25" thickBot="1" x14ac:dyDescent="0.2">
      <c r="B21" s="343"/>
      <c r="C21" s="155" t="s">
        <v>419</v>
      </c>
      <c r="D21" s="161">
        <v>4.3999999999999997E-2</v>
      </c>
      <c r="F21" s="350"/>
      <c r="G21" s="179" t="s">
        <v>720</v>
      </c>
      <c r="H21" s="184">
        <v>0.04</v>
      </c>
    </row>
    <row r="22" spans="2:8" ht="14.25" thickBot="1" x14ac:dyDescent="0.2">
      <c r="B22" s="343"/>
      <c r="C22" s="155" t="s">
        <v>420</v>
      </c>
      <c r="D22" s="161">
        <v>4.2000000000000003E-2</v>
      </c>
      <c r="F22" s="350"/>
      <c r="G22" s="188" t="s">
        <v>718</v>
      </c>
      <c r="H22" s="189">
        <v>3.4000000000000002E-2</v>
      </c>
    </row>
    <row r="23" spans="2:8" ht="14.25" thickBot="1" x14ac:dyDescent="0.2">
      <c r="B23" s="343"/>
      <c r="C23" s="155" t="s">
        <v>421</v>
      </c>
      <c r="D23" s="161">
        <v>4.1000000000000002E-2</v>
      </c>
      <c r="F23" s="350"/>
      <c r="G23" s="188" t="s">
        <v>721</v>
      </c>
      <c r="H23" s="189">
        <v>3.4000000000000002E-2</v>
      </c>
    </row>
    <row r="24" spans="2:8" ht="14.25" thickBot="1" x14ac:dyDescent="0.2">
      <c r="B24" s="343"/>
      <c r="C24" s="155" t="s">
        <v>422</v>
      </c>
      <c r="D24" s="161">
        <v>0.04</v>
      </c>
      <c r="F24" s="350"/>
      <c r="G24" s="179" t="s">
        <v>719</v>
      </c>
      <c r="H24" s="184">
        <v>2.8000000000000001E-2</v>
      </c>
    </row>
    <row r="25" spans="2:8" ht="14.25" thickBot="1" x14ac:dyDescent="0.2">
      <c r="B25" s="343"/>
      <c r="C25" s="155" t="s">
        <v>423</v>
      </c>
      <c r="D25" s="161">
        <v>3.7999999999999999E-2</v>
      </c>
      <c r="F25" s="350"/>
      <c r="G25" s="180" t="s">
        <v>722</v>
      </c>
      <c r="H25" s="186">
        <v>2.8000000000000001E-2</v>
      </c>
    </row>
    <row r="26" spans="2:8" ht="14.25" thickBot="1" x14ac:dyDescent="0.2">
      <c r="B26" s="343"/>
      <c r="C26" s="155" t="s">
        <v>424</v>
      </c>
      <c r="D26" s="161">
        <v>3.5999999999999997E-2</v>
      </c>
      <c r="F26" s="350" t="s">
        <v>753</v>
      </c>
      <c r="G26" s="178" t="s">
        <v>723</v>
      </c>
      <c r="H26" s="183">
        <v>2.9000000000000001E-2</v>
      </c>
    </row>
    <row r="27" spans="2:8" ht="14.25" thickBot="1" x14ac:dyDescent="0.2">
      <c r="B27" s="343"/>
      <c r="C27" s="155" t="s">
        <v>425</v>
      </c>
      <c r="D27" s="161">
        <v>3.5999999999999997E-2</v>
      </c>
      <c r="F27" s="350"/>
      <c r="G27" s="188" t="s">
        <v>724</v>
      </c>
      <c r="H27" s="189">
        <v>2.3E-2</v>
      </c>
    </row>
    <row r="28" spans="2:8" ht="14.25" thickBot="1" x14ac:dyDescent="0.2">
      <c r="B28" s="343"/>
      <c r="C28" s="155" t="s">
        <v>426</v>
      </c>
      <c r="D28" s="161">
        <v>3.5000000000000003E-2</v>
      </c>
      <c r="F28" s="350"/>
      <c r="G28" s="188" t="s">
        <v>727</v>
      </c>
      <c r="H28" s="189">
        <v>2.4E-2</v>
      </c>
    </row>
    <row r="29" spans="2:8" ht="14.25" thickBot="1" x14ac:dyDescent="0.2">
      <c r="B29" s="343"/>
      <c r="C29" s="155" t="s">
        <v>427</v>
      </c>
      <c r="D29" s="161">
        <v>3.5000000000000003E-2</v>
      </c>
      <c r="F29" s="350"/>
      <c r="G29" s="188" t="s">
        <v>728</v>
      </c>
      <c r="H29" s="189">
        <v>2.7E-2</v>
      </c>
    </row>
    <row r="30" spans="2:8" ht="14.25" thickBot="1" x14ac:dyDescent="0.2">
      <c r="B30" s="343"/>
      <c r="C30" s="155" t="s">
        <v>428</v>
      </c>
      <c r="D30" s="161">
        <v>3.3000000000000002E-2</v>
      </c>
      <c r="F30" s="350"/>
      <c r="G30" s="188" t="s">
        <v>729</v>
      </c>
      <c r="H30" s="189">
        <v>2.8000000000000001E-2</v>
      </c>
    </row>
    <row r="31" spans="2:8" ht="14.25" thickBot="1" x14ac:dyDescent="0.2">
      <c r="B31" s="343"/>
      <c r="C31" s="155" t="s">
        <v>429</v>
      </c>
      <c r="D31" s="161">
        <v>3.3000000000000002E-2</v>
      </c>
      <c r="F31" s="350"/>
      <c r="G31" s="179" t="s">
        <v>730</v>
      </c>
      <c r="H31" s="184">
        <v>2.4E-2</v>
      </c>
    </row>
    <row r="32" spans="2:8" ht="14.25" thickBot="1" x14ac:dyDescent="0.2">
      <c r="B32" s="343"/>
      <c r="C32" s="152" t="s">
        <v>430</v>
      </c>
      <c r="D32" s="158">
        <v>4.7E-2</v>
      </c>
      <c r="F32" s="350"/>
      <c r="G32" s="179" t="s">
        <v>725</v>
      </c>
      <c r="H32" s="184">
        <v>2.5000000000000001E-2</v>
      </c>
    </row>
    <row r="33" spans="2:8" ht="14.25" thickBot="1" x14ac:dyDescent="0.2">
      <c r="B33" s="343"/>
      <c r="C33" s="152" t="s">
        <v>431</v>
      </c>
      <c r="D33" s="158">
        <v>4.5999999999999999E-2</v>
      </c>
      <c r="F33" s="350"/>
      <c r="G33" s="179" t="s">
        <v>732</v>
      </c>
      <c r="H33" s="184">
        <v>2.3E-2</v>
      </c>
    </row>
    <row r="34" spans="2:8" ht="14.25" thickBot="1" x14ac:dyDescent="0.2">
      <c r="B34" s="343"/>
      <c r="C34" s="152" t="s">
        <v>432</v>
      </c>
      <c r="D34" s="158">
        <v>4.4999999999999998E-2</v>
      </c>
      <c r="F34" s="350"/>
      <c r="G34" s="180" t="s">
        <v>726</v>
      </c>
      <c r="H34" s="186">
        <v>2.4E-2</v>
      </c>
    </row>
    <row r="35" spans="2:8" ht="14.25" thickBot="1" x14ac:dyDescent="0.2">
      <c r="B35" s="343"/>
      <c r="C35" s="152" t="s">
        <v>433</v>
      </c>
      <c r="D35" s="158">
        <v>4.3999999999999997E-2</v>
      </c>
      <c r="F35" s="350" t="s">
        <v>736</v>
      </c>
      <c r="G35" s="178" t="s">
        <v>733</v>
      </c>
      <c r="H35" s="183">
        <v>4.2000000000000003E-2</v>
      </c>
    </row>
    <row r="36" spans="2:8" ht="14.25" thickBot="1" x14ac:dyDescent="0.2">
      <c r="B36" s="343"/>
      <c r="C36" s="152" t="s">
        <v>434</v>
      </c>
      <c r="D36" s="158">
        <v>4.2999999999999997E-2</v>
      </c>
      <c r="F36" s="350"/>
      <c r="G36" s="179" t="s">
        <v>734</v>
      </c>
      <c r="H36" s="184">
        <v>4.2000000000000003E-2</v>
      </c>
    </row>
    <row r="37" spans="2:8" ht="14.25" thickBot="1" x14ac:dyDescent="0.2">
      <c r="B37" s="343"/>
      <c r="C37" s="152" t="s">
        <v>435</v>
      </c>
      <c r="D37" s="158">
        <v>4.2999999999999997E-2</v>
      </c>
      <c r="F37" s="350"/>
      <c r="G37" s="188" t="s">
        <v>735</v>
      </c>
      <c r="H37" s="189">
        <v>3.7999999999999999E-2</v>
      </c>
    </row>
    <row r="38" spans="2:8" ht="14.25" thickBot="1" x14ac:dyDescent="0.2">
      <c r="B38" s="343"/>
      <c r="C38" s="152" t="s">
        <v>436</v>
      </c>
      <c r="D38" s="158">
        <v>4.2000000000000003E-2</v>
      </c>
      <c r="F38" s="350"/>
      <c r="G38" s="180" t="s">
        <v>712</v>
      </c>
      <c r="H38" s="186">
        <v>3.4000000000000002E-2</v>
      </c>
    </row>
    <row r="39" spans="2:8" x14ac:dyDescent="0.15">
      <c r="B39" s="343"/>
      <c r="C39" s="152" t="s">
        <v>437</v>
      </c>
      <c r="D39" s="158">
        <v>4.1000000000000002E-2</v>
      </c>
      <c r="F39" s="347" t="s">
        <v>739</v>
      </c>
      <c r="G39" s="182" t="s">
        <v>733</v>
      </c>
      <c r="H39" s="187">
        <v>2.1999999999999999E-2</v>
      </c>
    </row>
    <row r="40" spans="2:8" x14ac:dyDescent="0.15">
      <c r="B40" s="343"/>
      <c r="C40" s="152" t="s">
        <v>438</v>
      </c>
      <c r="D40" s="158">
        <v>3.7999999999999999E-2</v>
      </c>
      <c r="F40" s="347"/>
      <c r="G40" s="179" t="s">
        <v>734</v>
      </c>
      <c r="H40" s="184">
        <v>2.1999999999999999E-2</v>
      </c>
    </row>
    <row r="41" spans="2:8" x14ac:dyDescent="0.15">
      <c r="B41" s="343"/>
      <c r="C41" s="152" t="s">
        <v>439</v>
      </c>
      <c r="D41" s="158">
        <v>3.6999999999999998E-2</v>
      </c>
      <c r="F41" s="347"/>
      <c r="G41" s="188" t="s">
        <v>724</v>
      </c>
      <c r="H41" s="189">
        <v>3.5999999999999997E-2</v>
      </c>
    </row>
    <row r="42" spans="2:8" x14ac:dyDescent="0.15">
      <c r="B42" s="343"/>
      <c r="C42" s="152" t="s">
        <v>440</v>
      </c>
      <c r="D42" s="158">
        <v>3.7999999999999999E-2</v>
      </c>
      <c r="F42" s="347"/>
      <c r="G42" s="188" t="s">
        <v>727</v>
      </c>
      <c r="H42" s="189">
        <v>3.4000000000000002E-2</v>
      </c>
    </row>
    <row r="43" spans="2:8" x14ac:dyDescent="0.15">
      <c r="B43" s="343"/>
      <c r="C43" s="152" t="s">
        <v>441</v>
      </c>
      <c r="D43" s="158">
        <v>3.6999999999999998E-2</v>
      </c>
      <c r="F43" s="347"/>
      <c r="G43" s="188" t="s">
        <v>728</v>
      </c>
      <c r="H43" s="189">
        <v>2.8000000000000001E-2</v>
      </c>
    </row>
    <row r="44" spans="2:8" x14ac:dyDescent="0.15">
      <c r="B44" s="343"/>
      <c r="C44" s="152" t="s">
        <v>442</v>
      </c>
      <c r="D44" s="158">
        <v>3.5999999999999997E-2</v>
      </c>
      <c r="F44" s="347"/>
      <c r="G44" s="179" t="s">
        <v>737</v>
      </c>
      <c r="H44" s="184">
        <v>3.5000000000000003E-2</v>
      </c>
    </row>
    <row r="45" spans="2:8" ht="14.25" thickBot="1" x14ac:dyDescent="0.2">
      <c r="B45" s="343"/>
      <c r="C45" s="152" t="s">
        <v>443</v>
      </c>
      <c r="D45" s="158">
        <v>3.7999999999999999E-2</v>
      </c>
      <c r="F45" s="348"/>
      <c r="G45" s="180" t="s">
        <v>738</v>
      </c>
      <c r="H45" s="186">
        <v>3.5000000000000003E-2</v>
      </c>
    </row>
    <row r="46" spans="2:8" x14ac:dyDescent="0.15">
      <c r="B46" s="343"/>
      <c r="C46" s="152" t="s">
        <v>444</v>
      </c>
      <c r="D46" s="158">
        <v>3.6999999999999998E-2</v>
      </c>
    </row>
    <row r="47" spans="2:8" x14ac:dyDescent="0.15">
      <c r="B47" s="343"/>
      <c r="C47" s="152" t="s">
        <v>445</v>
      </c>
      <c r="D47" s="158">
        <v>3.5999999999999997E-2</v>
      </c>
    </row>
    <row r="48" spans="2:8" x14ac:dyDescent="0.15">
      <c r="B48" s="343"/>
      <c r="C48" s="152" t="s">
        <v>446</v>
      </c>
      <c r="D48" s="158">
        <v>3.5000000000000003E-2</v>
      </c>
    </row>
    <row r="49" spans="2:4" x14ac:dyDescent="0.15">
      <c r="B49" s="343"/>
      <c r="C49" s="152" t="s">
        <v>447</v>
      </c>
      <c r="D49" s="158">
        <v>3.4000000000000002E-2</v>
      </c>
    </row>
    <row r="50" spans="2:4" x14ac:dyDescent="0.15">
      <c r="B50" s="343"/>
      <c r="C50" s="152" t="s">
        <v>448</v>
      </c>
      <c r="D50" s="158">
        <v>3.5999999999999997E-2</v>
      </c>
    </row>
    <row r="51" spans="2:4" x14ac:dyDescent="0.15">
      <c r="B51" s="343"/>
      <c r="C51" s="152" t="s">
        <v>449</v>
      </c>
      <c r="D51" s="158">
        <v>3.5000000000000003E-2</v>
      </c>
    </row>
    <row r="52" spans="2:4" x14ac:dyDescent="0.15">
      <c r="B52" s="343"/>
      <c r="C52" s="152" t="s">
        <v>450</v>
      </c>
      <c r="D52" s="158">
        <v>3.4000000000000002E-2</v>
      </c>
    </row>
    <row r="53" spans="2:4" x14ac:dyDescent="0.15">
      <c r="B53" s="343"/>
      <c r="C53" s="152" t="s">
        <v>451</v>
      </c>
      <c r="D53" s="158">
        <v>3.3000000000000002E-2</v>
      </c>
    </row>
    <row r="54" spans="2:4" x14ac:dyDescent="0.15">
      <c r="B54" s="343"/>
      <c r="C54" s="152" t="s">
        <v>452</v>
      </c>
      <c r="D54" s="158">
        <v>3.5000000000000003E-2</v>
      </c>
    </row>
    <row r="55" spans="2:4" x14ac:dyDescent="0.15">
      <c r="B55" s="343"/>
      <c r="C55" s="152" t="s">
        <v>453</v>
      </c>
      <c r="D55" s="158">
        <v>3.4000000000000002E-2</v>
      </c>
    </row>
    <row r="56" spans="2:4" x14ac:dyDescent="0.15">
      <c r="B56" s="343"/>
      <c r="C56" s="152" t="s">
        <v>454</v>
      </c>
      <c r="D56" s="158">
        <v>3.3000000000000002E-2</v>
      </c>
    </row>
    <row r="57" spans="2:4" x14ac:dyDescent="0.15">
      <c r="B57" s="343"/>
      <c r="C57" s="152" t="s">
        <v>455</v>
      </c>
      <c r="D57" s="158">
        <v>3.5000000000000003E-2</v>
      </c>
    </row>
    <row r="58" spans="2:4" x14ac:dyDescent="0.15">
      <c r="B58" s="343"/>
      <c r="C58" s="152" t="s">
        <v>456</v>
      </c>
      <c r="D58" s="158">
        <v>3.4000000000000002E-2</v>
      </c>
    </row>
    <row r="59" spans="2:4" x14ac:dyDescent="0.15">
      <c r="B59" s="343"/>
      <c r="C59" s="152" t="s">
        <v>457</v>
      </c>
      <c r="D59" s="158">
        <v>3.3000000000000002E-2</v>
      </c>
    </row>
    <row r="60" spans="2:4" x14ac:dyDescent="0.15">
      <c r="B60" s="343"/>
      <c r="C60" s="152" t="s">
        <v>458</v>
      </c>
      <c r="D60" s="158">
        <v>3.4000000000000002E-2</v>
      </c>
    </row>
    <row r="61" spans="2:4" x14ac:dyDescent="0.15">
      <c r="B61" s="343"/>
      <c r="C61" s="152" t="s">
        <v>459</v>
      </c>
      <c r="D61" s="158">
        <v>3.3000000000000002E-2</v>
      </c>
    </row>
    <row r="62" spans="2:4" x14ac:dyDescent="0.15">
      <c r="B62" s="343"/>
      <c r="C62" s="152" t="s">
        <v>460</v>
      </c>
      <c r="D62" s="158">
        <v>3.2000000000000001E-2</v>
      </c>
    </row>
    <row r="63" spans="2:4" x14ac:dyDescent="0.15">
      <c r="B63" s="343"/>
      <c r="C63" s="152" t="s">
        <v>461</v>
      </c>
      <c r="D63" s="158">
        <v>3.1E-2</v>
      </c>
    </row>
    <row r="64" spans="2:4" x14ac:dyDescent="0.15">
      <c r="B64" s="343"/>
      <c r="C64" s="152" t="s">
        <v>462</v>
      </c>
      <c r="D64" s="158">
        <v>3.4000000000000002E-2</v>
      </c>
    </row>
    <row r="65" spans="2:8" x14ac:dyDescent="0.15">
      <c r="B65" s="343"/>
      <c r="C65" s="152" t="s">
        <v>463</v>
      </c>
      <c r="D65" s="158">
        <v>3.3000000000000002E-2</v>
      </c>
    </row>
    <row r="66" spans="2:8" x14ac:dyDescent="0.15">
      <c r="B66" s="343"/>
      <c r="C66" s="152" t="s">
        <v>464</v>
      </c>
      <c r="D66" s="158">
        <v>3.2000000000000001E-2</v>
      </c>
    </row>
    <row r="67" spans="2:8" x14ac:dyDescent="0.15">
      <c r="B67" s="343"/>
      <c r="C67" s="152" t="s">
        <v>465</v>
      </c>
      <c r="D67" s="158">
        <v>3.1E-2</v>
      </c>
      <c r="F67" s="115"/>
      <c r="G67" s="115"/>
      <c r="H67" s="177"/>
    </row>
    <row r="68" spans="2:8" x14ac:dyDescent="0.15">
      <c r="B68" s="343"/>
      <c r="C68" s="152" t="s">
        <v>466</v>
      </c>
      <c r="D68" s="158">
        <v>3.4000000000000002E-2</v>
      </c>
      <c r="F68" s="115"/>
      <c r="G68" s="115"/>
      <c r="H68" s="177"/>
    </row>
    <row r="69" spans="2:8" x14ac:dyDescent="0.15">
      <c r="B69" s="343"/>
      <c r="C69" s="152" t="s">
        <v>467</v>
      </c>
      <c r="D69" s="158">
        <v>3.3000000000000002E-2</v>
      </c>
      <c r="F69" s="115"/>
      <c r="G69" s="115"/>
      <c r="H69" s="177"/>
    </row>
    <row r="70" spans="2:8" x14ac:dyDescent="0.15">
      <c r="B70" s="343"/>
      <c r="C70" s="152" t="s">
        <v>468</v>
      </c>
      <c r="D70" s="158">
        <v>3.2000000000000001E-2</v>
      </c>
    </row>
    <row r="71" spans="2:8" x14ac:dyDescent="0.15">
      <c r="B71" s="343"/>
      <c r="C71" s="152" t="s">
        <v>469</v>
      </c>
      <c r="D71" s="158">
        <v>3.3000000000000002E-2</v>
      </c>
    </row>
    <row r="72" spans="2:8" x14ac:dyDescent="0.15">
      <c r="B72" s="343"/>
      <c r="C72" s="152" t="s">
        <v>470</v>
      </c>
      <c r="D72" s="158">
        <v>3.2000000000000001E-2</v>
      </c>
    </row>
    <row r="73" spans="2:8" ht="14.25" thickBot="1" x14ac:dyDescent="0.2">
      <c r="B73" s="344"/>
      <c r="C73" s="153" t="s">
        <v>471</v>
      </c>
      <c r="D73" s="159">
        <v>3.1E-2</v>
      </c>
    </row>
    <row r="74" spans="2:8" x14ac:dyDescent="0.15">
      <c r="B74" s="342" t="s">
        <v>472</v>
      </c>
      <c r="C74" s="151" t="s">
        <v>473</v>
      </c>
      <c r="D74" s="157">
        <v>4.4999999999999998E-2</v>
      </c>
    </row>
    <row r="75" spans="2:8" x14ac:dyDescent="0.15">
      <c r="B75" s="343"/>
      <c r="C75" s="152" t="s">
        <v>474</v>
      </c>
      <c r="D75" s="158">
        <v>4.2999999999999997E-2</v>
      </c>
    </row>
    <row r="76" spans="2:8" x14ac:dyDescent="0.15">
      <c r="B76" s="343"/>
      <c r="C76" s="152" t="s">
        <v>475</v>
      </c>
      <c r="D76" s="158">
        <v>4.1000000000000002E-2</v>
      </c>
    </row>
    <row r="77" spans="2:8" x14ac:dyDescent="0.15">
      <c r="B77" s="343"/>
      <c r="C77" s="152" t="s">
        <v>476</v>
      </c>
      <c r="D77" s="158">
        <v>3.9E-2</v>
      </c>
    </row>
    <row r="78" spans="2:8" x14ac:dyDescent="0.15">
      <c r="B78" s="343"/>
      <c r="C78" s="155" t="s">
        <v>477</v>
      </c>
      <c r="D78" s="161">
        <v>3.7999999999999999E-2</v>
      </c>
    </row>
    <row r="79" spans="2:8" x14ac:dyDescent="0.15">
      <c r="B79" s="343"/>
      <c r="C79" s="155" t="s">
        <v>478</v>
      </c>
      <c r="D79" s="161">
        <v>3.6999999999999998E-2</v>
      </c>
    </row>
    <row r="80" spans="2:8" x14ac:dyDescent="0.15">
      <c r="B80" s="343"/>
      <c r="C80" s="155" t="s">
        <v>479</v>
      </c>
      <c r="D80" s="161">
        <v>3.5999999999999997E-2</v>
      </c>
    </row>
    <row r="81" spans="2:4" x14ac:dyDescent="0.15">
      <c r="B81" s="343"/>
      <c r="C81" s="152" t="s">
        <v>480</v>
      </c>
      <c r="D81" s="158">
        <v>3.5999999999999997E-2</v>
      </c>
    </row>
    <row r="82" spans="2:4" x14ac:dyDescent="0.15">
      <c r="B82" s="343"/>
      <c r="C82" s="152" t="s">
        <v>481</v>
      </c>
      <c r="D82" s="158">
        <v>3.5000000000000003E-2</v>
      </c>
    </row>
    <row r="83" spans="2:4" ht="14.25" thickBot="1" x14ac:dyDescent="0.2">
      <c r="B83" s="344"/>
      <c r="C83" s="153" t="s">
        <v>482</v>
      </c>
      <c r="D83" s="159">
        <v>3.4000000000000002E-2</v>
      </c>
    </row>
    <row r="84" spans="2:4" x14ac:dyDescent="0.15">
      <c r="B84" s="343" t="s">
        <v>483</v>
      </c>
      <c r="C84" s="151" t="s">
        <v>484</v>
      </c>
      <c r="D84" s="157">
        <v>0.04</v>
      </c>
    </row>
    <row r="85" spans="2:4" ht="14.25" thickBot="1" x14ac:dyDescent="0.2">
      <c r="B85" s="343"/>
      <c r="C85" s="153" t="s">
        <v>485</v>
      </c>
      <c r="D85" s="159">
        <v>5.1999999999999998E-2</v>
      </c>
    </row>
    <row r="86" spans="2:4" x14ac:dyDescent="0.15">
      <c r="B86" s="342" t="s">
        <v>486</v>
      </c>
      <c r="C86" s="151" t="s">
        <v>501</v>
      </c>
      <c r="D86" s="157">
        <v>3.4000000000000002E-2</v>
      </c>
    </row>
    <row r="87" spans="2:4" x14ac:dyDescent="0.15">
      <c r="B87" s="343"/>
      <c r="C87" s="152" t="s">
        <v>502</v>
      </c>
      <c r="D87" s="158">
        <v>3.5999999999999997E-2</v>
      </c>
    </row>
    <row r="88" spans="2:4" x14ac:dyDescent="0.15">
      <c r="B88" s="343"/>
      <c r="C88" s="152" t="s">
        <v>503</v>
      </c>
      <c r="D88" s="158">
        <v>3.7999999999999999E-2</v>
      </c>
    </row>
    <row r="89" spans="2:4" ht="14.25" thickBot="1" x14ac:dyDescent="0.2">
      <c r="B89" s="344"/>
      <c r="C89" s="153" t="s">
        <v>504</v>
      </c>
      <c r="D89" s="159">
        <v>4.1000000000000002E-2</v>
      </c>
    </row>
    <row r="90" spans="2:4" x14ac:dyDescent="0.15">
      <c r="B90" s="343" t="s">
        <v>505</v>
      </c>
      <c r="C90" s="154" t="s">
        <v>487</v>
      </c>
      <c r="D90" s="160">
        <v>0.04</v>
      </c>
    </row>
    <row r="91" spans="2:4" x14ac:dyDescent="0.15">
      <c r="B91" s="343"/>
      <c r="C91" s="155" t="s">
        <v>488</v>
      </c>
      <c r="D91" s="161">
        <v>3.7999999999999999E-2</v>
      </c>
    </row>
    <row r="92" spans="2:4" x14ac:dyDescent="0.15">
      <c r="B92" s="343"/>
      <c r="C92" s="155" t="s">
        <v>489</v>
      </c>
      <c r="D92" s="161">
        <v>3.5999999999999997E-2</v>
      </c>
    </row>
    <row r="93" spans="2:4" x14ac:dyDescent="0.15">
      <c r="B93" s="343"/>
      <c r="C93" s="152" t="s">
        <v>490</v>
      </c>
      <c r="D93" s="158">
        <v>3.4000000000000002E-2</v>
      </c>
    </row>
    <row r="94" spans="2:4" x14ac:dyDescent="0.15">
      <c r="B94" s="343"/>
      <c r="C94" s="152" t="s">
        <v>491</v>
      </c>
      <c r="D94" s="158">
        <v>3.2000000000000001E-2</v>
      </c>
    </row>
    <row r="95" spans="2:4" x14ac:dyDescent="0.15">
      <c r="B95" s="343"/>
      <c r="C95" s="152" t="s">
        <v>492</v>
      </c>
      <c r="D95" s="158">
        <v>0.03</v>
      </c>
    </row>
    <row r="96" spans="2:4" x14ac:dyDescent="0.15">
      <c r="B96" s="343"/>
      <c r="C96" s="155" t="s">
        <v>497</v>
      </c>
      <c r="D96" s="161">
        <v>2.8000000000000001E-2</v>
      </c>
    </row>
    <row r="97" spans="2:4" x14ac:dyDescent="0.15">
      <c r="B97" s="343"/>
      <c r="C97" s="155" t="s">
        <v>498</v>
      </c>
      <c r="D97" s="161">
        <v>2.5999999999999999E-2</v>
      </c>
    </row>
    <row r="98" spans="2:4" x14ac:dyDescent="0.15">
      <c r="B98" s="343"/>
      <c r="C98" s="155" t="s">
        <v>499</v>
      </c>
      <c r="D98" s="161">
        <v>2.4E-2</v>
      </c>
    </row>
    <row r="99" spans="2:4" x14ac:dyDescent="0.15">
      <c r="B99" s="343"/>
      <c r="C99" s="155" t="s">
        <v>500</v>
      </c>
      <c r="D99" s="161">
        <v>2.1999999999999999E-2</v>
      </c>
    </row>
    <row r="100" spans="2:4" x14ac:dyDescent="0.15">
      <c r="B100" s="343"/>
      <c r="C100" s="164" t="s">
        <v>493</v>
      </c>
      <c r="D100" s="165">
        <v>2.8000000000000001E-2</v>
      </c>
    </row>
    <row r="101" spans="2:4" x14ac:dyDescent="0.15">
      <c r="B101" s="343"/>
      <c r="C101" s="164" t="s">
        <v>494</v>
      </c>
      <c r="D101" s="165">
        <v>2.5999999999999999E-2</v>
      </c>
    </row>
    <row r="102" spans="2:4" x14ac:dyDescent="0.15">
      <c r="B102" s="343"/>
      <c r="C102" s="164" t="s">
        <v>495</v>
      </c>
      <c r="D102" s="165">
        <v>2.4E-2</v>
      </c>
    </row>
    <row r="103" spans="2:4" ht="14.25" thickBot="1" x14ac:dyDescent="0.2">
      <c r="B103" s="343"/>
      <c r="C103" s="166" t="s">
        <v>496</v>
      </c>
      <c r="D103" s="167">
        <v>2.1999999999999999E-2</v>
      </c>
    </row>
    <row r="104" spans="2:4" x14ac:dyDescent="0.15">
      <c r="B104" s="342" t="s">
        <v>506</v>
      </c>
      <c r="C104" s="154" t="s">
        <v>507</v>
      </c>
      <c r="D104" s="160">
        <v>2.9000000000000001E-2</v>
      </c>
    </row>
    <row r="105" spans="2:4" x14ac:dyDescent="0.15">
      <c r="B105" s="343"/>
      <c r="C105" s="164" t="s">
        <v>509</v>
      </c>
      <c r="D105" s="165">
        <v>2.3E-2</v>
      </c>
    </row>
    <row r="106" spans="2:4" x14ac:dyDescent="0.15">
      <c r="B106" s="343"/>
      <c r="C106" s="164" t="s">
        <v>510</v>
      </c>
      <c r="D106" s="165">
        <v>2.4E-2</v>
      </c>
    </row>
    <row r="107" spans="2:4" x14ac:dyDescent="0.15">
      <c r="B107" s="343"/>
      <c r="C107" s="164" t="s">
        <v>511</v>
      </c>
      <c r="D107" s="165">
        <v>2.7E-2</v>
      </c>
    </row>
    <row r="108" spans="2:4" ht="14.25" thickBot="1" x14ac:dyDescent="0.2">
      <c r="B108" s="344"/>
      <c r="C108" s="166" t="s">
        <v>512</v>
      </c>
      <c r="D108" s="167">
        <v>2.8000000000000001E-2</v>
      </c>
    </row>
    <row r="109" spans="2:4" x14ac:dyDescent="0.15">
      <c r="B109" s="343" t="s">
        <v>513</v>
      </c>
      <c r="C109" s="154" t="s">
        <v>514</v>
      </c>
      <c r="D109" s="160">
        <v>4.2000000000000003E-2</v>
      </c>
    </row>
    <row r="110" spans="2:4" x14ac:dyDescent="0.15">
      <c r="B110" s="343"/>
      <c r="C110" s="155" t="s">
        <v>515</v>
      </c>
      <c r="D110" s="161">
        <v>4.2000000000000003E-2</v>
      </c>
    </row>
    <row r="111" spans="2:4" x14ac:dyDescent="0.15">
      <c r="B111" s="343"/>
      <c r="C111" s="164" t="s">
        <v>508</v>
      </c>
      <c r="D111" s="165">
        <v>3.7999999999999999E-2</v>
      </c>
    </row>
    <row r="112" spans="2:4" ht="14.25" thickBot="1" x14ac:dyDescent="0.2">
      <c r="B112" s="343"/>
      <c r="C112" s="166" t="s">
        <v>516</v>
      </c>
      <c r="D112" s="167">
        <v>3.4000000000000002E-2</v>
      </c>
    </row>
    <row r="113" spans="2:4" x14ac:dyDescent="0.15">
      <c r="B113" s="342" t="s">
        <v>517</v>
      </c>
      <c r="C113" s="154" t="s">
        <v>518</v>
      </c>
      <c r="D113" s="160">
        <v>2.1999999999999999E-2</v>
      </c>
    </row>
    <row r="114" spans="2:4" x14ac:dyDescent="0.15">
      <c r="B114" s="343"/>
      <c r="C114" s="155" t="s">
        <v>519</v>
      </c>
      <c r="D114" s="161">
        <v>2.1999999999999999E-2</v>
      </c>
    </row>
    <row r="115" spans="2:4" x14ac:dyDescent="0.15">
      <c r="B115" s="343"/>
      <c r="C115" s="155" t="s">
        <v>520</v>
      </c>
      <c r="D115" s="161">
        <v>2.1000000000000001E-2</v>
      </c>
    </row>
    <row r="116" spans="2:4" x14ac:dyDescent="0.15">
      <c r="B116" s="343"/>
      <c r="C116" s="155" t="s">
        <v>521</v>
      </c>
      <c r="D116" s="161">
        <v>2.1000000000000001E-2</v>
      </c>
    </row>
    <row r="117" spans="2:4" x14ac:dyDescent="0.15">
      <c r="B117" s="343"/>
      <c r="C117" s="155" t="s">
        <v>522</v>
      </c>
      <c r="D117" s="161">
        <v>0.02</v>
      </c>
    </row>
    <row r="118" spans="2:4" x14ac:dyDescent="0.15">
      <c r="B118" s="343"/>
      <c r="C118" s="155" t="s">
        <v>523</v>
      </c>
      <c r="D118" s="161">
        <v>0.02</v>
      </c>
    </row>
    <row r="119" spans="2:4" x14ac:dyDescent="0.15">
      <c r="B119" s="343"/>
      <c r="C119" s="155" t="s">
        <v>524</v>
      </c>
      <c r="D119" s="161">
        <v>1.9E-2</v>
      </c>
    </row>
    <row r="120" spans="2:4" x14ac:dyDescent="0.15">
      <c r="B120" s="343"/>
      <c r="C120" s="155" t="s">
        <v>525</v>
      </c>
      <c r="D120" s="161">
        <v>1.9E-2</v>
      </c>
    </row>
    <row r="121" spans="2:4" x14ac:dyDescent="0.15">
      <c r="B121" s="343"/>
      <c r="C121" s="155" t="s">
        <v>526</v>
      </c>
      <c r="D121" s="161">
        <v>1.7999999999999999E-2</v>
      </c>
    </row>
    <row r="122" spans="2:4" x14ac:dyDescent="0.15">
      <c r="B122" s="343"/>
      <c r="C122" s="155" t="s">
        <v>527</v>
      </c>
      <c r="D122" s="161">
        <v>1.7999999999999999E-2</v>
      </c>
    </row>
    <row r="123" spans="2:4" x14ac:dyDescent="0.15">
      <c r="B123" s="343"/>
      <c r="C123" s="152" t="s">
        <v>528</v>
      </c>
      <c r="D123" s="158">
        <v>2.1999999999999999E-2</v>
      </c>
    </row>
    <row r="124" spans="2:4" x14ac:dyDescent="0.15">
      <c r="B124" s="343"/>
      <c r="C124" s="152" t="s">
        <v>529</v>
      </c>
      <c r="D124" s="158">
        <v>2.1999999999999999E-2</v>
      </c>
    </row>
    <row r="125" spans="2:4" x14ac:dyDescent="0.15">
      <c r="B125" s="343"/>
      <c r="C125" s="152" t="s">
        <v>530</v>
      </c>
      <c r="D125" s="158">
        <v>2.1000000000000001E-2</v>
      </c>
    </row>
    <row r="126" spans="2:4" x14ac:dyDescent="0.15">
      <c r="B126" s="343"/>
      <c r="C126" s="152" t="s">
        <v>531</v>
      </c>
      <c r="D126" s="158">
        <v>2.1000000000000001E-2</v>
      </c>
    </row>
    <row r="127" spans="2:4" x14ac:dyDescent="0.15">
      <c r="B127" s="343"/>
      <c r="C127" s="152" t="s">
        <v>532</v>
      </c>
      <c r="D127" s="158">
        <v>0.02</v>
      </c>
    </row>
    <row r="128" spans="2:4" x14ac:dyDescent="0.15">
      <c r="B128" s="343"/>
      <c r="C128" s="152" t="s">
        <v>533</v>
      </c>
      <c r="D128" s="158">
        <v>0.02</v>
      </c>
    </row>
    <row r="129" spans="2:4" x14ac:dyDescent="0.15">
      <c r="B129" s="343"/>
      <c r="C129" s="152" t="s">
        <v>534</v>
      </c>
      <c r="D129" s="158">
        <v>1.9E-2</v>
      </c>
    </row>
    <row r="130" spans="2:4" x14ac:dyDescent="0.15">
      <c r="B130" s="343"/>
      <c r="C130" s="152" t="s">
        <v>535</v>
      </c>
      <c r="D130" s="158">
        <v>1.9E-2</v>
      </c>
    </row>
    <row r="131" spans="2:4" x14ac:dyDescent="0.15">
      <c r="B131" s="343"/>
      <c r="C131" s="152" t="s">
        <v>536</v>
      </c>
      <c r="D131" s="158">
        <v>1.7999999999999999E-2</v>
      </c>
    </row>
    <row r="132" spans="2:4" x14ac:dyDescent="0.15">
      <c r="B132" s="343"/>
      <c r="C132" s="152" t="s">
        <v>537</v>
      </c>
      <c r="D132" s="158">
        <v>1.7999999999999999E-2</v>
      </c>
    </row>
    <row r="133" spans="2:4" x14ac:dyDescent="0.15">
      <c r="B133" s="343"/>
      <c r="C133" s="155" t="s">
        <v>538</v>
      </c>
      <c r="D133" s="161">
        <v>2.1999999999999999E-2</v>
      </c>
    </row>
    <row r="134" spans="2:4" x14ac:dyDescent="0.15">
      <c r="B134" s="343"/>
      <c r="C134" s="155" t="s">
        <v>539</v>
      </c>
      <c r="D134" s="161">
        <v>2.1999999999999999E-2</v>
      </c>
    </row>
    <row r="135" spans="2:4" x14ac:dyDescent="0.15">
      <c r="B135" s="343"/>
      <c r="C135" s="155" t="s">
        <v>540</v>
      </c>
      <c r="D135" s="161">
        <v>2.1000000000000001E-2</v>
      </c>
    </row>
    <row r="136" spans="2:4" x14ac:dyDescent="0.15">
      <c r="B136" s="343"/>
      <c r="C136" s="155" t="s">
        <v>541</v>
      </c>
      <c r="D136" s="161">
        <v>2.1000000000000001E-2</v>
      </c>
    </row>
    <row r="137" spans="2:4" x14ac:dyDescent="0.15">
      <c r="B137" s="343"/>
      <c r="C137" s="155" t="s">
        <v>542</v>
      </c>
      <c r="D137" s="161">
        <v>0.02</v>
      </c>
    </row>
    <row r="138" spans="2:4" x14ac:dyDescent="0.15">
      <c r="B138" s="343"/>
      <c r="C138" s="155" t="s">
        <v>543</v>
      </c>
      <c r="D138" s="161">
        <v>0.02</v>
      </c>
    </row>
    <row r="139" spans="2:4" x14ac:dyDescent="0.15">
      <c r="B139" s="343"/>
      <c r="C139" s="155" t="s">
        <v>544</v>
      </c>
      <c r="D139" s="161">
        <v>1.9E-2</v>
      </c>
    </row>
    <row r="140" spans="2:4" x14ac:dyDescent="0.15">
      <c r="B140" s="343"/>
      <c r="C140" s="155" t="s">
        <v>545</v>
      </c>
      <c r="D140" s="161">
        <v>1.9E-2</v>
      </c>
    </row>
    <row r="141" spans="2:4" x14ac:dyDescent="0.15">
      <c r="B141" s="343"/>
      <c r="C141" s="155" t="s">
        <v>546</v>
      </c>
      <c r="D141" s="161">
        <v>1.7999999999999999E-2</v>
      </c>
    </row>
    <row r="142" spans="2:4" x14ac:dyDescent="0.15">
      <c r="B142" s="343"/>
      <c r="C142" s="155" t="s">
        <v>547</v>
      </c>
      <c r="D142" s="161">
        <v>1.7999999999999999E-2</v>
      </c>
    </row>
    <row r="143" spans="2:4" x14ac:dyDescent="0.15">
      <c r="B143" s="343"/>
      <c r="C143" s="152" t="s">
        <v>548</v>
      </c>
      <c r="D143" s="158">
        <v>3.5999999999999997E-2</v>
      </c>
    </row>
    <row r="144" spans="2:4" x14ac:dyDescent="0.15">
      <c r="B144" s="343"/>
      <c r="C144" s="152" t="s">
        <v>549</v>
      </c>
      <c r="D144" s="158">
        <v>3.5999999999999997E-2</v>
      </c>
    </row>
    <row r="145" spans="2:4" x14ac:dyDescent="0.15">
      <c r="B145" s="343"/>
      <c r="C145" s="152" t="s">
        <v>550</v>
      </c>
      <c r="D145" s="158">
        <v>3.4000000000000002E-2</v>
      </c>
    </row>
    <row r="146" spans="2:4" x14ac:dyDescent="0.15">
      <c r="B146" s="343"/>
      <c r="C146" s="152" t="s">
        <v>551</v>
      </c>
      <c r="D146" s="158">
        <v>3.4000000000000002E-2</v>
      </c>
    </row>
    <row r="147" spans="2:4" x14ac:dyDescent="0.15">
      <c r="B147" s="343"/>
      <c r="C147" s="152" t="s">
        <v>552</v>
      </c>
      <c r="D147" s="158">
        <v>2.8000000000000001E-2</v>
      </c>
    </row>
    <row r="148" spans="2:4" x14ac:dyDescent="0.15">
      <c r="B148" s="343"/>
      <c r="C148" s="152" t="s">
        <v>553</v>
      </c>
      <c r="D148" s="158">
        <v>2.8000000000000001E-2</v>
      </c>
    </row>
    <row r="149" spans="2:4" x14ac:dyDescent="0.15">
      <c r="B149" s="343"/>
      <c r="C149" s="155" t="s">
        <v>554</v>
      </c>
      <c r="D149" s="161">
        <v>3.5000000000000003E-2</v>
      </c>
    </row>
    <row r="150" spans="2:4" ht="14.25" thickBot="1" x14ac:dyDescent="0.2">
      <c r="B150" s="344"/>
      <c r="C150" s="156" t="s">
        <v>555</v>
      </c>
      <c r="D150" s="162">
        <v>3.5000000000000003E-2</v>
      </c>
    </row>
    <row r="151" spans="2:4" x14ac:dyDescent="0.15">
      <c r="B151" s="190"/>
      <c r="C151" s="191"/>
      <c r="D151" s="192"/>
    </row>
    <row r="152" spans="2:4" ht="42" customHeight="1" thickBot="1" x14ac:dyDescent="0.2">
      <c r="B152" s="176" t="s">
        <v>774</v>
      </c>
      <c r="C152" s="108"/>
      <c r="D152" s="175"/>
    </row>
    <row r="153" spans="2:4" ht="14.25" thickBot="1" x14ac:dyDescent="0.2">
      <c r="B153" s="345" t="s">
        <v>560</v>
      </c>
      <c r="C153" s="346"/>
      <c r="D153" s="150" t="s">
        <v>403</v>
      </c>
    </row>
    <row r="154" spans="2:4" x14ac:dyDescent="0.15">
      <c r="B154" s="342" t="s">
        <v>556</v>
      </c>
      <c r="C154" s="151" t="s">
        <v>557</v>
      </c>
      <c r="D154" s="157">
        <v>3.4000000000000002E-2</v>
      </c>
    </row>
    <row r="155" spans="2:4" x14ac:dyDescent="0.15">
      <c r="B155" s="343"/>
      <c r="C155" s="152" t="s">
        <v>558</v>
      </c>
      <c r="D155" s="158">
        <v>3.4000000000000002E-2</v>
      </c>
    </row>
    <row r="156" spans="2:4" ht="14.25" thickBot="1" x14ac:dyDescent="0.2">
      <c r="B156" s="344"/>
      <c r="C156" s="153" t="s">
        <v>559</v>
      </c>
      <c r="D156" s="159">
        <v>0.04</v>
      </c>
    </row>
  </sheetData>
  <sheetProtection algorithmName="SHA-512" hashValue="bE4woiWYJLrq57B/M61DOA3nSzTwSoghJgvFnam6sMFv08ODvfJNBE7FqQCJgbrbO9g8tUwoe6bpbJKkfQrgog==" saltValue="Rup6zkTsZAv/BYkqCHwh3A==" spinCount="100000" sheet="1" objects="1" scenarios="1" selectLockedCells="1"/>
  <mergeCells count="21">
    <mergeCell ref="F39:F45"/>
    <mergeCell ref="F14:G14"/>
    <mergeCell ref="F15:F19"/>
    <mergeCell ref="F20:F25"/>
    <mergeCell ref="F26:F34"/>
    <mergeCell ref="F35:F38"/>
    <mergeCell ref="B74:B83"/>
    <mergeCell ref="B2:C2"/>
    <mergeCell ref="B3:B6"/>
    <mergeCell ref="B7:B8"/>
    <mergeCell ref="B9:B11"/>
    <mergeCell ref="B15:B73"/>
    <mergeCell ref="B14:C14"/>
    <mergeCell ref="B154:B156"/>
    <mergeCell ref="B84:B85"/>
    <mergeCell ref="B86:B89"/>
    <mergeCell ref="B90:B103"/>
    <mergeCell ref="B104:B108"/>
    <mergeCell ref="B109:B112"/>
    <mergeCell ref="B113:B150"/>
    <mergeCell ref="B153:C153"/>
  </mergeCells>
  <phoneticPr fontId="2"/>
  <pageMargins left="0.59055118110236227" right="0.39370078740157483" top="0.98425196850393704" bottom="0.78740157480314965" header="0.31496062992125984" footer="0.39370078740157483"/>
  <pageSetup paperSize="9" orientation="portrait" horizontalDpi="300" verticalDpi="300" r:id="rId1"/>
  <headerFooter>
    <oddHeader>&amp;Rver. 1.5（ｅｘｃｅｌ 2010）[H28]</oddHeader>
    <oddFooter>&amp;Cⓒ　2013 hyoukakyoukai.All right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8" width="4.12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 x14ac:dyDescent="0.15">
      <c r="A1" s="492" t="s">
        <v>123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496" t="b">
        <f>IF(共通条件・結果!Z6="８地域","0.325",IF(共通条件・結果!Z6="７地域",0.307,IF(共通条件・結果!Z6="６地域",0.341,IF(共通条件・結果!Z6="５地域",0.373,IF(共通条件・結果!Z6="４地域",0.322,IF(共通条件・結果!Z6="３地域",0.335,IF(共通条件・結果!Z6="２地域",0.341,IF(共通条件・結果!Z6="１地域",0.329))))))))</f>
        <v>0</v>
      </c>
      <c r="V3" s="497"/>
      <c r="W3" s="498" t="b">
        <f>IF(共通条件・結果!Z6="８地域","-",IF(共通条件・結果!Z6="７地域",0.227,IF(共通条件・結果!Z6="６地域",0.261,IF(共通条件・結果!Z6="５地域",0.238,IF(共通条件・結果!Z6="４地域",0.256,IF(共通条件・結果!Z6="３地域",0.284,IF(共通条件・結果!Z6="２地域",0.263,IF(共通条件・結果!Z6="１地域",0.26))))))))</f>
        <v>0</v>
      </c>
      <c r="X3" s="499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491"/>
      <c r="C7" s="475"/>
      <c r="D7" s="476"/>
      <c r="E7" s="476"/>
      <c r="F7" s="477"/>
      <c r="G7" s="429"/>
      <c r="H7" s="430"/>
      <c r="I7" s="431"/>
      <c r="J7" s="432"/>
      <c r="K7" s="473"/>
      <c r="L7" s="47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1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460"/>
      <c r="C8" s="485"/>
      <c r="D8" s="442"/>
      <c r="E8" s="442"/>
      <c r="F8" s="443"/>
      <c r="G8" s="486"/>
      <c r="H8" s="487"/>
      <c r="I8" s="486"/>
      <c r="J8" s="487"/>
      <c r="K8" s="446"/>
      <c r="L8" s="446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2">IF(C8="","",IF(ISERROR(AD8),#VALUE!,AD8))</f>
        <v/>
      </c>
      <c r="X8" s="354"/>
      <c r="Y8" s="354" t="str">
        <f t="shared" ref="Y8:Y16" si="3">IF(C8="","",C8*E8*AM8)</f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1"/>
        <v>FALSE</v>
      </c>
      <c r="AW8" s="80"/>
      <c r="BA8" s="80"/>
    </row>
    <row r="9" spans="1:53" s="2" customFormat="1" ht="34.5" customHeight="1" x14ac:dyDescent="0.15">
      <c r="A9" s="459"/>
      <c r="B9" s="460"/>
      <c r="C9" s="485"/>
      <c r="D9" s="442"/>
      <c r="E9" s="442"/>
      <c r="F9" s="443"/>
      <c r="G9" s="486"/>
      <c r="H9" s="487"/>
      <c r="I9" s="486"/>
      <c r="J9" s="487"/>
      <c r="K9" s="446"/>
      <c r="L9" s="446"/>
      <c r="M9" s="488"/>
      <c r="N9" s="489"/>
      <c r="O9" s="425"/>
      <c r="P9" s="426"/>
      <c r="Q9" s="427"/>
      <c r="R9" s="428"/>
      <c r="S9" s="425"/>
      <c r="T9" s="426"/>
      <c r="U9" s="354" t="str">
        <f>IF(C9="","",AC9)</f>
        <v/>
      </c>
      <c r="V9" s="354"/>
      <c r="W9" s="354" t="str">
        <f t="shared" si="2"/>
        <v/>
      </c>
      <c r="X9" s="354"/>
      <c r="Y9" s="354" t="str">
        <f>IF(C9="","",C9*E9*AM9)</f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>0.01*(16+24*(2*Q9+S9)/O9)</f>
        <v>#DIV/0!</v>
      </c>
      <c r="AK9" s="2" t="e">
        <f>0.01*(10+15*(2*Q9+S9)/O9)</f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>IF(K9="","FALSE",IF(K9="雨戸",0.1,IF(K9="ｼｬｯﾀｰ",0.1,IF(K9="障子",0.18,IF(K9="風除室",0.1)))))</f>
        <v>FALSE</v>
      </c>
      <c r="AW9" s="80"/>
      <c r="BA9" s="80"/>
    </row>
    <row r="10" spans="1:53" s="2" customFormat="1" ht="34.5" customHeight="1" x14ac:dyDescent="0.15">
      <c r="A10" s="459"/>
      <c r="B10" s="460"/>
      <c r="C10" s="485"/>
      <c r="D10" s="442"/>
      <c r="E10" s="442"/>
      <c r="F10" s="443"/>
      <c r="G10" s="486"/>
      <c r="H10" s="487"/>
      <c r="I10" s="486"/>
      <c r="J10" s="487"/>
      <c r="K10" s="446"/>
      <c r="L10" s="446"/>
      <c r="M10" s="488"/>
      <c r="N10" s="489"/>
      <c r="O10" s="425"/>
      <c r="P10" s="426"/>
      <c r="Q10" s="427"/>
      <c r="R10" s="428"/>
      <c r="S10" s="425"/>
      <c r="T10" s="426"/>
      <c r="U10" s="354" t="str">
        <f>IF(C10="","",AC10)</f>
        <v/>
      </c>
      <c r="V10" s="354"/>
      <c r="W10" s="354" t="str">
        <f t="shared" si="2"/>
        <v/>
      </c>
      <c r="X10" s="354"/>
      <c r="Y10" s="354" t="str">
        <f>IF(C10="","",C10*E10*AM10)</f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>0.01*(16+24*(2*Q10+S10)/O10)</f>
        <v>#DIV/0!</v>
      </c>
      <c r="AK10" s="2" t="e">
        <f>0.01*(10+15*(2*Q10+S10)/O10)</f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>IF(K10="","FALSE",IF(K10="雨戸",0.1,IF(K10="ｼｬｯﾀｰ",0.1,IF(K10="障子",0.18,IF(K10="風除室",0.1)))))</f>
        <v>FALSE</v>
      </c>
      <c r="AW10" s="80"/>
      <c r="BA10" s="80"/>
    </row>
    <row r="11" spans="1:53" s="2" customFormat="1" ht="34.5" customHeight="1" x14ac:dyDescent="0.15">
      <c r="A11" s="459"/>
      <c r="B11" s="460"/>
      <c r="C11" s="485"/>
      <c r="D11" s="442"/>
      <c r="E11" s="442"/>
      <c r="F11" s="443"/>
      <c r="G11" s="486"/>
      <c r="H11" s="487"/>
      <c r="I11" s="486"/>
      <c r="J11" s="487"/>
      <c r="K11" s="446"/>
      <c r="L11" s="446"/>
      <c r="M11" s="488"/>
      <c r="N11" s="489"/>
      <c r="O11" s="425"/>
      <c r="P11" s="426"/>
      <c r="Q11" s="427"/>
      <c r="R11" s="428"/>
      <c r="S11" s="425"/>
      <c r="T11" s="426"/>
      <c r="U11" s="354" t="str">
        <f>IF(C11="","",AC11)</f>
        <v/>
      </c>
      <c r="V11" s="354"/>
      <c r="W11" s="354" t="str">
        <f t="shared" si="2"/>
        <v/>
      </c>
      <c r="X11" s="354"/>
      <c r="Y11" s="354" t="str">
        <f>IF(C11="","",C11*E11*AM11)</f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>0.01*(16+24*(2*Q11+S11)/O11)</f>
        <v>#DIV/0!</v>
      </c>
      <c r="AK11" s="2" t="e">
        <f>0.01*(10+15*(2*Q11+S11)/O11)</f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>IF(K11="","FALSE",IF(K11="雨戸",0.1,IF(K11="ｼｬｯﾀｰ",0.1,IF(K11="障子",0.18,IF(K11="風除室",0.1)))))</f>
        <v>FALSE</v>
      </c>
      <c r="AW11" s="80"/>
      <c r="BA11" s="80"/>
    </row>
    <row r="12" spans="1:53" s="2" customFormat="1" ht="34.5" customHeight="1" x14ac:dyDescent="0.15">
      <c r="A12" s="459"/>
      <c r="B12" s="460"/>
      <c r="C12" s="485"/>
      <c r="D12" s="442"/>
      <c r="E12" s="442"/>
      <c r="F12" s="443"/>
      <c r="G12" s="486"/>
      <c r="H12" s="487"/>
      <c r="I12" s="486"/>
      <c r="J12" s="487"/>
      <c r="K12" s="446"/>
      <c r="L12" s="446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2"/>
        <v/>
      </c>
      <c r="X12" s="354"/>
      <c r="Y12" s="354" t="str">
        <f t="shared" si="3"/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1"/>
        <v>FALSE</v>
      </c>
      <c r="AW12" s="80"/>
      <c r="BA12" s="80"/>
    </row>
    <row r="13" spans="1:53" s="2" customFormat="1" ht="34.5" customHeight="1" x14ac:dyDescent="0.15">
      <c r="A13" s="459"/>
      <c r="B13" s="460"/>
      <c r="C13" s="485"/>
      <c r="D13" s="442"/>
      <c r="E13" s="442"/>
      <c r="F13" s="443"/>
      <c r="G13" s="486"/>
      <c r="H13" s="487"/>
      <c r="I13" s="486"/>
      <c r="J13" s="487"/>
      <c r="K13" s="446"/>
      <c r="L13" s="446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2"/>
        <v/>
      </c>
      <c r="X13" s="354"/>
      <c r="Y13" s="354" t="str">
        <f t="shared" si="3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1"/>
        <v>FALSE</v>
      </c>
      <c r="AW13" s="80"/>
      <c r="BA13" s="80"/>
    </row>
    <row r="14" spans="1:53" s="2" customFormat="1" ht="34.5" customHeight="1" x14ac:dyDescent="0.15">
      <c r="A14" s="459"/>
      <c r="B14" s="460"/>
      <c r="C14" s="485"/>
      <c r="D14" s="442"/>
      <c r="E14" s="442"/>
      <c r="F14" s="443"/>
      <c r="G14" s="486"/>
      <c r="H14" s="487"/>
      <c r="I14" s="486"/>
      <c r="J14" s="487"/>
      <c r="K14" s="446"/>
      <c r="L14" s="446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2"/>
        <v/>
      </c>
      <c r="X14" s="354"/>
      <c r="Y14" s="354" t="str">
        <f t="shared" si="3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1"/>
        <v>FALSE</v>
      </c>
      <c r="AW14" s="80"/>
      <c r="BA14" s="80"/>
    </row>
    <row r="15" spans="1:53" s="2" customFormat="1" ht="34.5" customHeight="1" x14ac:dyDescent="0.15">
      <c r="A15" s="459"/>
      <c r="B15" s="460"/>
      <c r="C15" s="485"/>
      <c r="D15" s="442"/>
      <c r="E15" s="442"/>
      <c r="F15" s="443"/>
      <c r="G15" s="486"/>
      <c r="H15" s="487"/>
      <c r="I15" s="486"/>
      <c r="J15" s="487"/>
      <c r="K15" s="446"/>
      <c r="L15" s="446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2"/>
        <v/>
      </c>
      <c r="X15" s="354"/>
      <c r="Y15" s="354" t="str">
        <f t="shared" si="3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1"/>
        <v>FALSE</v>
      </c>
      <c r="AW15" s="80"/>
      <c r="BA15" s="80"/>
    </row>
    <row r="16" spans="1:53" s="2" customFormat="1" ht="34.5" customHeight="1" thickBot="1" x14ac:dyDescent="0.2">
      <c r="A16" s="468"/>
      <c r="B16" s="469"/>
      <c r="C16" s="392"/>
      <c r="D16" s="374"/>
      <c r="E16" s="374"/>
      <c r="F16" s="375"/>
      <c r="G16" s="471"/>
      <c r="H16" s="472"/>
      <c r="I16" s="471"/>
      <c r="J16" s="472"/>
      <c r="K16" s="473"/>
      <c r="L16" s="473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2"/>
        <v/>
      </c>
      <c r="X16" s="354"/>
      <c r="Y16" s="360" t="str">
        <f t="shared" si="3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1"/>
        <v>FALSE</v>
      </c>
      <c r="AW16" s="80"/>
      <c r="BA16" s="80"/>
    </row>
    <row r="17" spans="1:53" s="2" customFormat="1" ht="21.95" customHeight="1" thickBot="1" x14ac:dyDescent="0.2">
      <c r="A17" s="453" t="s">
        <v>124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269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125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35" s="2" customFormat="1" ht="10.5" customHeight="1" x14ac:dyDescent="0.15"/>
    <row r="34" spans="1:35" s="2" customFormat="1" ht="21.95" customHeight="1" thickBot="1" x14ac:dyDescent="0.2">
      <c r="A34" s="4" t="s">
        <v>349</v>
      </c>
    </row>
    <row r="35" spans="1:35" s="2" customFormat="1" ht="21.95" customHeight="1" x14ac:dyDescent="0.15">
      <c r="A35" s="461" t="s">
        <v>73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35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35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35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35" s="2" customFormat="1" ht="21.95" customHeight="1" x14ac:dyDescent="0.15"/>
    <row r="40" spans="1:35" s="2" customFormat="1" ht="21.95" customHeight="1" x14ac:dyDescent="0.15"/>
    <row r="41" spans="1:35" s="2" customFormat="1" ht="21.95" customHeight="1" x14ac:dyDescent="0.15"/>
    <row r="42" spans="1:35" s="2" customFormat="1" ht="21.95" hidden="1" customHeight="1" x14ac:dyDescent="0.15">
      <c r="B42" s="114" t="s">
        <v>266</v>
      </c>
    </row>
    <row r="43" spans="1:35" s="2" customFormat="1" ht="21.95" hidden="1" customHeight="1" x14ac:dyDescent="0.15">
      <c r="AC43" s="54"/>
      <c r="AD43" s="54"/>
    </row>
    <row r="44" spans="1:35" s="2" customFormat="1" ht="21.75" hidden="1" customHeight="1" x14ac:dyDescent="0.15">
      <c r="O44" s="351" t="s">
        <v>186</v>
      </c>
      <c r="P44" s="351"/>
      <c r="Q44" s="351"/>
      <c r="AC44" s="54"/>
      <c r="AD44" s="54"/>
    </row>
    <row r="45" spans="1:35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</row>
    <row r="46" spans="1:35" s="2" customFormat="1" ht="21.75" hidden="1" customHeight="1" x14ac:dyDescent="0.15">
      <c r="A46" s="30"/>
      <c r="B46" s="223" t="s">
        <v>833</v>
      </c>
      <c r="C46" s="224" t="s">
        <v>858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</row>
    <row r="47" spans="1:35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AF47" s="209" t="s">
        <v>282</v>
      </c>
      <c r="AG47" s="210" t="s">
        <v>297</v>
      </c>
      <c r="AH47" s="211" t="s">
        <v>290</v>
      </c>
      <c r="AI47" s="212" t="s">
        <v>290</v>
      </c>
    </row>
    <row r="48" spans="1:35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AF48" s="209" t="s">
        <v>283</v>
      </c>
      <c r="AG48" s="210" t="s">
        <v>298</v>
      </c>
      <c r="AH48" s="211" t="s">
        <v>291</v>
      </c>
      <c r="AI48" s="212" t="s">
        <v>291</v>
      </c>
    </row>
    <row r="49" spans="1:35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AF49" s="209" t="s">
        <v>284</v>
      </c>
      <c r="AG49" s="210" t="s">
        <v>290</v>
      </c>
      <c r="AH49" s="211" t="s">
        <v>299</v>
      </c>
      <c r="AI49" s="212" t="s">
        <v>299</v>
      </c>
    </row>
    <row r="50" spans="1:35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AF50" s="209" t="s">
        <v>285</v>
      </c>
      <c r="AG50" s="210" t="s">
        <v>291</v>
      </c>
      <c r="AH50" s="211" t="s">
        <v>300</v>
      </c>
      <c r="AI50" s="212" t="s">
        <v>300</v>
      </c>
    </row>
    <row r="51" spans="1:35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AF51" s="209" t="s">
        <v>286</v>
      </c>
      <c r="AG51" s="210" t="s">
        <v>311</v>
      </c>
      <c r="AH51" s="211" t="s">
        <v>313</v>
      </c>
      <c r="AI51" s="212" t="s">
        <v>304</v>
      </c>
    </row>
    <row r="52" spans="1:35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AF52" s="209" t="s">
        <v>287</v>
      </c>
      <c r="AG52" s="210" t="s">
        <v>312</v>
      </c>
      <c r="AH52" s="211" t="s">
        <v>314</v>
      </c>
      <c r="AI52" s="212" t="s">
        <v>305</v>
      </c>
    </row>
    <row r="53" spans="1:35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AF53" s="209" t="s">
        <v>288</v>
      </c>
      <c r="AG53" s="210" t="s">
        <v>304</v>
      </c>
      <c r="AH53" s="211" t="s">
        <v>785</v>
      </c>
      <c r="AI53" s="212" t="s">
        <v>785</v>
      </c>
    </row>
    <row r="54" spans="1:35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AF54" s="209" t="s">
        <v>289</v>
      </c>
      <c r="AG54" s="210" t="s">
        <v>305</v>
      </c>
      <c r="AH54" s="211" t="s">
        <v>786</v>
      </c>
      <c r="AI54" s="212" t="s">
        <v>786</v>
      </c>
    </row>
    <row r="55" spans="1:35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AF55" s="209" t="s">
        <v>290</v>
      </c>
      <c r="AG55" s="210" t="s">
        <v>785</v>
      </c>
      <c r="AH55" s="211" t="s">
        <v>292</v>
      </c>
      <c r="AI55" s="212" t="s">
        <v>292</v>
      </c>
    </row>
    <row r="56" spans="1:35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AF56" s="209" t="s">
        <v>291</v>
      </c>
      <c r="AG56" s="210" t="s">
        <v>786</v>
      </c>
      <c r="AH56" s="211" t="s">
        <v>293</v>
      </c>
      <c r="AI56" s="212" t="s">
        <v>293</v>
      </c>
    </row>
    <row r="57" spans="1:35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AF57" s="209" t="s">
        <v>302</v>
      </c>
      <c r="AG57" s="210" t="s">
        <v>292</v>
      </c>
      <c r="AH57" s="211" t="s">
        <v>294</v>
      </c>
      <c r="AI57" s="212" t="s">
        <v>294</v>
      </c>
    </row>
    <row r="58" spans="1:35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AF58" s="209" t="s">
        <v>303</v>
      </c>
      <c r="AG58" s="210" t="s">
        <v>293</v>
      </c>
      <c r="AH58" s="211" t="s">
        <v>295</v>
      </c>
      <c r="AI58" s="212" t="s">
        <v>295</v>
      </c>
    </row>
    <row r="59" spans="1:35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AF59" s="209" t="s">
        <v>292</v>
      </c>
      <c r="AG59" s="210" t="s">
        <v>294</v>
      </c>
      <c r="AH59" s="211" t="s">
        <v>296</v>
      </c>
      <c r="AI59" s="212" t="s">
        <v>296</v>
      </c>
    </row>
    <row r="60" spans="1:35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AF60" s="209" t="s">
        <v>293</v>
      </c>
      <c r="AG60" s="210" t="s">
        <v>295</v>
      </c>
      <c r="AH60" s="211" t="s">
        <v>306</v>
      </c>
      <c r="AI60" s="212" t="s">
        <v>315</v>
      </c>
    </row>
    <row r="61" spans="1:35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AF61" s="209" t="s">
        <v>294</v>
      </c>
      <c r="AG61" s="210" t="s">
        <v>296</v>
      </c>
      <c r="AH61" s="211" t="s">
        <v>307</v>
      </c>
      <c r="AI61" s="212" t="s">
        <v>316</v>
      </c>
    </row>
    <row r="62" spans="1:35" s="2" customFormat="1" ht="21.75" hidden="1" customHeight="1" x14ac:dyDescent="0.15">
      <c r="A62" s="55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AF62" s="209" t="s">
        <v>295</v>
      </c>
      <c r="AG62" s="210" t="s">
        <v>306</v>
      </c>
      <c r="AH62" s="211" t="s">
        <v>308</v>
      </c>
      <c r="AI62" s="212" t="s">
        <v>317</v>
      </c>
    </row>
    <row r="63" spans="1:35" s="2" customFormat="1" ht="21.75" hidden="1" customHeight="1" x14ac:dyDescent="0.15">
      <c r="A63" s="207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AF63" s="209" t="s">
        <v>296</v>
      </c>
      <c r="AG63" s="210" t="s">
        <v>307</v>
      </c>
      <c r="AH63" s="211" t="s">
        <v>309</v>
      </c>
      <c r="AI63" s="212" t="s">
        <v>318</v>
      </c>
    </row>
    <row r="64" spans="1:35" s="2" customFormat="1" ht="21.75" hidden="1" customHeight="1" x14ac:dyDescent="0.15">
      <c r="A64" s="55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AF64" s="209" t="s">
        <v>304</v>
      </c>
      <c r="AG64" s="210" t="s">
        <v>308</v>
      </c>
      <c r="AH64" s="211" t="s">
        <v>310</v>
      </c>
      <c r="AI64" s="212" t="s">
        <v>319</v>
      </c>
    </row>
    <row r="65" spans="1:35" s="2" customFormat="1" ht="21.75" hidden="1" customHeight="1" x14ac:dyDescent="0.15">
      <c r="A65" s="207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AF65" s="209" t="s">
        <v>305</v>
      </c>
      <c r="AG65" s="210" t="s">
        <v>309</v>
      </c>
      <c r="AH65" s="213"/>
      <c r="AI65" s="212" t="s">
        <v>301</v>
      </c>
    </row>
    <row r="66" spans="1:35" s="2" customFormat="1" ht="21.75" hidden="1" customHeight="1" x14ac:dyDescent="0.15">
      <c r="A66" s="55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AF66" s="209" t="s">
        <v>785</v>
      </c>
      <c r="AG66" s="210" t="s">
        <v>310</v>
      </c>
      <c r="AH66" s="213"/>
      <c r="AI66" s="212" t="s">
        <v>320</v>
      </c>
    </row>
    <row r="67" spans="1:35" s="2" customFormat="1" ht="21.75" hidden="1" customHeight="1" x14ac:dyDescent="0.15">
      <c r="A67" s="207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AF67" s="209" t="s">
        <v>786</v>
      </c>
      <c r="AG67" s="214"/>
      <c r="AH67" s="213"/>
      <c r="AI67" s="212" t="s">
        <v>321</v>
      </c>
    </row>
    <row r="68" spans="1:35" s="3" customFormat="1" ht="21.75" hidden="1" customHeight="1" x14ac:dyDescent="0.15">
      <c r="A68" s="55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AF68" s="209" t="s">
        <v>306</v>
      </c>
      <c r="AG68" s="214"/>
      <c r="AH68" s="213"/>
      <c r="AI68" s="212" t="s">
        <v>278</v>
      </c>
    </row>
    <row r="69" spans="1:35" s="3" customFormat="1" ht="21.75" hidden="1" customHeight="1" x14ac:dyDescent="0.15">
      <c r="A69" s="207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AF69" s="209" t="s">
        <v>307</v>
      </c>
      <c r="AG69" s="214"/>
      <c r="AH69" s="215"/>
      <c r="AI69" s="212" t="s">
        <v>279</v>
      </c>
    </row>
    <row r="70" spans="1:35" ht="21.75" hidden="1" customHeight="1" x14ac:dyDescent="0.15">
      <c r="A70" s="55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AF70" s="209" t="s">
        <v>308</v>
      </c>
      <c r="AG70" s="214"/>
      <c r="AH70" s="215"/>
      <c r="AI70" s="212" t="s">
        <v>280</v>
      </c>
    </row>
    <row r="71" spans="1:35" ht="21.75" hidden="1" customHeight="1" x14ac:dyDescent="0.15">
      <c r="A71" s="207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AF71" s="209" t="s">
        <v>309</v>
      </c>
      <c r="AG71" s="214"/>
      <c r="AH71" s="215"/>
      <c r="AI71" s="212" t="s">
        <v>322</v>
      </c>
    </row>
    <row r="72" spans="1:35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203">
        <v>0.63</v>
      </c>
      <c r="P72" s="203">
        <v>0.27</v>
      </c>
      <c r="Q72" s="203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AF72" s="209" t="s">
        <v>310</v>
      </c>
      <c r="AG72" s="215"/>
      <c r="AH72" s="215"/>
      <c r="AI72" s="215"/>
    </row>
    <row r="73" spans="1:35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AF73" s="209" t="s">
        <v>277</v>
      </c>
      <c r="AG73" s="216"/>
      <c r="AH73" s="216"/>
      <c r="AI73" s="216"/>
    </row>
    <row r="74" spans="1:35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AF74" s="209" t="s">
        <v>278</v>
      </c>
      <c r="AG74" s="215"/>
      <c r="AH74" s="215"/>
      <c r="AI74" s="215"/>
    </row>
    <row r="75" spans="1:35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AF75" s="209" t="s">
        <v>279</v>
      </c>
      <c r="AG75" s="215"/>
      <c r="AH75" s="215"/>
      <c r="AI75" s="215"/>
    </row>
    <row r="76" spans="1:35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AF76" s="209" t="s">
        <v>280</v>
      </c>
      <c r="AG76" s="215"/>
      <c r="AH76" s="215"/>
      <c r="AI76" s="215"/>
    </row>
    <row r="77" spans="1:35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AF77" s="209" t="s">
        <v>281</v>
      </c>
      <c r="AG77" s="215"/>
      <c r="AH77" s="215"/>
      <c r="AI77" s="215"/>
    </row>
    <row r="78" spans="1:35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35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35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66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201">
        <f t="shared" ref="T146:AC146" si="8">SUM(T142:T145)</f>
        <v>0</v>
      </c>
      <c r="U146" s="201">
        <f t="shared" si="8"/>
        <v>0</v>
      </c>
      <c r="V146" s="201">
        <f t="shared" si="8"/>
        <v>0</v>
      </c>
      <c r="W146" s="201">
        <f t="shared" si="8"/>
        <v>0</v>
      </c>
      <c r="X146" s="201">
        <f t="shared" si="8"/>
        <v>0</v>
      </c>
      <c r="Y146" s="201">
        <f t="shared" si="8"/>
        <v>0</v>
      </c>
      <c r="Z146" s="201">
        <f t="shared" si="8"/>
        <v>0</v>
      </c>
      <c r="AA146" s="201">
        <f t="shared" si="8"/>
        <v>0</v>
      </c>
      <c r="AB146" s="201">
        <f t="shared" si="8"/>
        <v>0</v>
      </c>
      <c r="AC146" s="111">
        <f t="shared" si="8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201">
        <f t="shared" ref="T152:AC152" si="9">SUM(T148:T151)</f>
        <v>0</v>
      </c>
      <c r="U152" s="201">
        <f t="shared" si="9"/>
        <v>0</v>
      </c>
      <c r="V152" s="201">
        <f t="shared" si="9"/>
        <v>0</v>
      </c>
      <c r="W152" s="201">
        <f t="shared" si="9"/>
        <v>0</v>
      </c>
      <c r="X152" s="201">
        <f t="shared" si="9"/>
        <v>0</v>
      </c>
      <c r="Y152" s="201">
        <f t="shared" si="9"/>
        <v>0</v>
      </c>
      <c r="Z152" s="201">
        <f t="shared" si="9"/>
        <v>0</v>
      </c>
      <c r="AA152" s="201">
        <f t="shared" si="9"/>
        <v>0</v>
      </c>
      <c r="AB152" s="201">
        <f t="shared" si="9"/>
        <v>0</v>
      </c>
      <c r="AC152" s="111">
        <f t="shared" si="9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</f>
        <v>0</v>
      </c>
      <c r="AD157" s="54">
        <f t="array" ref="AD157">SUM(IF(AD46:AD139="aaaa",$P$46:$P$139,""))+SUM(IF(AD46:AD139="bbbb",$P$46:$P$139,""))+SUM(IF(AD46:AD139="cccc",$P$46:$P$139,""))+SUM(IF(AD46:AD139="dddd",$P$46:$P$139,""))+SUM(IF(AD46:AD139="eeee",$P$46:$P$139,""))+SUM(IF(AD46:AD139="ffff",$P$46:$P$139,""))+SUM(IF(AD46:AD139="gggg",$P$46:$P$139,""))+SUM(IF(AD46:AD139="hhhh",$P$46:$P$139,""))+SUM(IF(AD46:AD139="iiii",$P$46:$P$139,""))+SUM(IF(AD46:AD139="jjjj",$P$46:$P$139,""))+SUM(IF(AD46:AD139="kkkk",$P$46:$P$139,""))+SUM(IF(AD46:AD139="llll",$P$46:$P$139,""))+SUM(IF(AD46:AD139="mmmm",$P$46:$P$139,""))+SUM(IF(AD46:AD139="nnnn",$P$46:$P$139,""))+SUM(IF(AD46:AD139="oooo",$P$46:$P$139,""))+SUM(IF(AD46:AD139="pppp",$P$46:$P$139,""))</f>
        <v>0</v>
      </c>
      <c r="AE157" s="54">
        <f t="array" ref="AE157">SUM(IF(AE46:AE139="aaaa",$P$46:$P$139,""))+SUM(IF(AE46:AE139="bbbb",$P$46:$P$139,""))+SUM(IF(AE46:AE139="cccc",$P$46:$P$139,""))+SUM(IF(AE46:AE139="dddd",$P$46:$P$139,""))+SUM(IF(AE46:AE139="eeee",$P$46:$P$139,""))+SUM(IF(AE46:AE139="ffff",$P$46:$P$139,""))+SUM(IF(AE46:AE139="gggg",$P$46:$P$139,""))+SUM(IF(AE46:AE139="hhhh",$P$46:$P$139,""))+SUM(IF(AE46:AE139="iiii",$P$46:$P$139,""))+SUM(IF(AE46:AE139="jjjj",$P$46:$P$139,""))+SUM(IF(AE46:AE139="kkkk",$P$46:$P$139,""))+SUM(IF(AE46:AE139="llll",$P$46:$P$139,""))+SUM(IF(AE46:AE139="mmmm",$P$46:$P$139,""))+SUM(IF(AE46:AE139="nnnn",$P$46:$P$139,""))+SUM(IF(AE46:AE139="oooo",$P$46:$P$139,""))+SUM(IF(AE46:AE139="pppp",$P$46:$P$139,""))</f>
        <v>0</v>
      </c>
      <c r="AF157" s="54">
        <f t="array" ref="AF157">SUM(IF(AF46:AF139="aaaa",$P$46:$P$139,""))+SUM(IF(AF46:AF139="bbbb",$P$46:$P$139,""))+SUM(IF(AF46:AF139="cccc",$P$46:$P$139,""))+SUM(IF(AF46:AF139="dddd",$P$46:$P$139,""))+SUM(IF(AF46:AF139="eeee",$P$46:$P$139,""))+SUM(IF(AF46:AF139="ffff",$P$46:$P$139,""))+SUM(IF(AF46:AF139="gggg",$P$46:$P$139,""))+SUM(IF(AF46:AF139="hhhh",$P$46:$P$139,""))+SUM(IF(AF46:AF139="iiii",$P$46:$P$139,""))+SUM(IF(AF46:AF139="jjjj",$P$46:$P$139,""))+SUM(IF(AF46:AF139="kkkk",$P$46:$P$139,""))+SUM(IF(AF46:AF139="llll",$P$46:$P$139,""))+SUM(IF(AF46:AF139="mmmm",$P$46:$P$139,""))+SUM(IF(AF46:AF139="nnnn",$P$46:$P$139,""))+SUM(IF(AF46:AF139="oooo",$P$46:$P$139,""))+SUM(IF(AF46:AF139="pppp",$P$46:$P$139,""))</f>
        <v>0</v>
      </c>
      <c r="AG157" s="54">
        <f t="array" ref="AG157">SUM(IF(AG46:AG139="aaaa",$P$46:$P$139,""))+SUM(IF(AG46:AG139="bbbb",$P$46:$P$139,""))+SUM(IF(AG46:AG139="cccc",$P$46:$P$139,""))+SUM(IF(AG46:AG139="dddd",$P$46:$P$139,""))+SUM(IF(AG46:AG139="eeee",$P$46:$P$139,""))+SUM(IF(AG46:AG139="ffff",$P$46:$P$139,""))+SUM(IF(AG46:AG139="gggg",$P$46:$P$139,""))+SUM(IF(AG46:AG139="hhhh",$P$46:$P$139,""))+SUM(IF(AG46:AG139="iiii",$P$46:$P$139,""))+SUM(IF(AG46:AG139="jjjj",$P$46:$P$139,""))+SUM(IF(AG46:AG139="kkkk",$P$46:$P$139,""))+SUM(IF(AG46:AG139="llll",$P$46:$P$139,""))+SUM(IF(AG46:AG139="mmmm",$P$46:$P$139,""))+SUM(IF(AG46:AG139="nnnn",$P$46:$P$139,""))+SUM(IF(AG46:AG139="oooo",$P$46:$P$139,""))+SUM(IF(AG46:AG139="pppp",$P$46:$P$139,""))</f>
        <v>0</v>
      </c>
      <c r="AH157" s="54">
        <f t="array" ref="AH157">SUM(IF(AH46:AH139="aaaa",$P$46:$P$139,""))+SUM(IF(AH46:AH139="bbbb",$P$46:$P$139,""))+SUM(IF(AH46:AH139="cccc",$P$46:$P$139,""))+SUM(IF(AH46:AH139="dddd",$P$46:$P$139,""))+SUM(IF(AH46:AH139="eeee",$P$46:$P$139,""))+SUM(IF(AH46:AH139="ffff",$P$46:$P$139,""))+SUM(IF(AH46:AH139="gggg",$P$46:$P$139,""))+SUM(IF(AH46:AH139="hhhh",$P$46:$P$139,""))+SUM(IF(AH46:AH139="iiii",$P$46:$P$139,""))+SUM(IF(AH46:AH139="jjjj",$P$46:$P$139,""))+SUM(IF(AH46:AH139="kkkk",$P$46:$P$139,""))+SUM(IF(AH46:AH139="llll",$P$46:$P$139,""))+SUM(IF(AH46:AH139="mmmm",$P$46:$P$139,""))+SUM(IF(AH46:AH139="nnnn",$P$46:$P$139,""))+SUM(IF(AH46:AH139="oooo",$P$46:$P$139,""))+SUM(IF(AH46:AH139="pppp",$P$46:$P$139,""))</f>
        <v>0</v>
      </c>
      <c r="AI157" s="54">
        <f t="array" ref="AI157">SUM(IF(AI46:AI139="aaaa",$P$46:$P$139,""))+SUM(IF(AI46:AI139="bbbb",$P$46:$P$139,""))+SUM(IF(AI46:AI139="cccc",$P$46:$P$139,""))+SUM(IF(AI46:AI139="dddd",$P$46:$P$139,""))+SUM(IF(AI46:AI139="eeee",$P$46:$P$139,""))+SUM(IF(AI46:AI139="ffff",$P$46:$P$139,""))+SUM(IF(AI46:AI139="gggg",$P$46:$P$139,""))+SUM(IF(AI46:AI139="hhhh",$P$46:$P$139,""))+SUM(IF(AI46:AI139="iiii",$P$46:$P$139,""))+SUM(IF(AI46:AI139="jjjj",$P$46:$P$139,""))+SUM(IF(AI46:AI139="kkkk",$P$46:$P$139,""))+SUM(IF(AI46:AI139="llll",$P$46:$P$139,""))+SUM(IF(AI46:AI139="mmmm",$P$46:$P$139,""))+SUM(IF(AI46:AI139="nnnn",$P$46:$P$139,""))+SUM(IF(AI46:AI139="oooo",$P$46:$P$139,""))+SUM(IF(AI46:AI139="pppp",$P$46:$P$139,""))</f>
        <v>0</v>
      </c>
      <c r="AJ157" s="54">
        <f t="array" ref="AJ157">SUM(IF(AJ46:AJ139="aaaa",$P$46:$P$139,""))+SUM(IF(AJ46:AJ139="bbbb",$P$46:$P$139,""))+SUM(IF(AJ46:AJ139="cccc",$P$46:$P$139,""))+SUM(IF(AJ46:AJ139="dddd",$P$46:$P$139,""))+SUM(IF(AJ46:AJ139="eeee",$P$46:$P$139,""))+SUM(IF(AJ46:AJ139="ffff",$P$46:$P$139,""))+SUM(IF(AJ46:AJ139="gggg",$P$46:$P$139,""))+SUM(IF(AJ46:AJ139="hhhh",$P$46:$P$139,""))+SUM(IF(AJ46:AJ139="iiii",$P$46:$P$139,""))+SUM(IF(AJ46:AJ139="jjjj",$P$46:$P$139,""))+SUM(IF(AJ46:AJ139="kkkk",$P$46:$P$139,""))+SUM(IF(AJ46:AJ139="llll",$P$46:$P$139,""))+SUM(IF(AJ46:AJ139="mmmm",$P$46:$P$139,""))+SUM(IF(AJ46:AJ139="nnnn",$P$46:$P$139,""))+SUM(IF(AJ46:AJ139="oooo",$P$46:$P$139,""))+SUM(IF(AJ46:AJ139="pppp",$P$46:$P$139,""))</f>
        <v>0</v>
      </c>
      <c r="AK157" s="54">
        <f t="array" ref="AK157">SUM(IF(AK46:AK139="aaaa",$P$46:$P$139,""))+SUM(IF(AK46:AK139="bbbb",$P$46:$P$139,""))+SUM(IF(AK46:AK139="cccc",$P$46:$P$139,""))+SUM(IF(AK46:AK139="dddd",$P$46:$P$139,""))+SUM(IF(AK46:AK139="eeee",$P$46:$P$139,""))+SUM(IF(AK46:AK139="ffff",$P$46:$P$139,""))+SUM(IF(AK46:AK139="gggg",$P$46:$P$139,""))+SUM(IF(AK46:AK139="hhhh",$P$46:$P$139,""))+SUM(IF(AK46:AK139="iiii",$P$46:$P$139,""))+SUM(IF(AK46:AK139="jjjj",$P$46:$P$139,""))+SUM(IF(AK46:AK139="kkkk",$P$46:$P$139,""))+SUM(IF(AK46:AK139="llll",$P$46:$P$139,""))+SUM(IF(AK46:AK139="mmmm",$P$46:$P$139,""))+SUM(IF(AK46:AK139="nnnn",$P$46:$P$139,""))+SUM(IF(AK46:AK139="oooo",$P$46:$P$139,""))+SUM(IF(AK46:AK139="pppp",$P$46:$P$139,""))</f>
        <v>0</v>
      </c>
      <c r="AL157" s="54">
        <f t="array" ref="AL157">SUM(IF(AL46:AL139="aaaa",$P$46:$P$139,""))+SUM(IF(AL46:AL139="bbbb",$P$46:$P$139,""))+SUM(IF(AL46:AL139="cccc",$P$46:$P$139,""))+SUM(IF(AL46:AL139="dddd",$P$46:$P$139,""))+SUM(IF(AL46:AL139="eeee",$P$46:$P$139,""))+SUM(IF(AL46:AL139="ffff",$P$46:$P$139,""))+SUM(IF(AL46:AL139="gggg",$P$46:$P$139,""))+SUM(IF(AL46:AL139="hhhh",$P$46:$P$139,""))+SUM(IF(AL46:AL139="iiii",$P$46:$P$139,""))+SUM(IF(AL46:AL139="jjjj",$P$46:$P$139,""))+SUM(IF(AL46:AL139="kkkk",$P$46:$P$139,""))+SUM(IF(AL46:AL139="llll",$P$46:$P$139,""))+SUM(IF(AL46:AL139="mmmm",$P$46:$P$139,""))+SUM(IF(AL46:AL139="nnnn",$P$46:$P$139,""))+SUM(IF(AL46:AL139="oooo",$P$46:$P$139,""))+SUM(IF(AL46:AL139="pppp",$P$46:$P$139,""))</f>
        <v>0</v>
      </c>
      <c r="AM157" s="54">
        <f t="array" ref="AM157">SUM(IF(AM46:AM139="aaaa",$P$46:$P$139,""))+SUM(IF(AM46:AM139="bbbb",$P$46:$P$139,""))+SUM(IF(AM46:AM139="cccc",$P$46:$P$139,""))+SUM(IF(AM46:AM139="dddd",$P$46:$P$139,""))+SUM(IF(AM46:AM139="eeee",$P$46:$P$139,""))+SUM(IF(AM46:AM139="ffff",$P$46:$P$139,""))+SUM(IF(AM46:AM139="gggg",$P$46:$P$139,""))+SUM(IF(AM46:AM139="hhhh",$P$46:$P$139,""))+SUM(IF(AM46:AM139="iiii",$P$46:$P$139,""))+SUM(IF(AM46:AM139="jjjj",$P$46:$P$139,""))+SUM(IF(AM46:AM139="kkkk",$P$46:$P$139,""))+SUM(IF(AM46:AM139="llll",$P$46:$P$139,""))+SUM(IF(AM46:AM139="mmmm",$P$46:$P$139,""))+SUM(IF(AM46:AM139="nnnn",$P$46:$P$139,""))+SUM(IF(AM46:AM139="oooo",$P$46:$P$139,""))+SUM(IF(AM46:AM139="pppp",$P$46:$P$139,""))</f>
        <v>0</v>
      </c>
      <c r="AN157" s="54">
        <f t="array" ref="AN157">SUM(IF(AN46:AN139="aaaa",$P$46:$P$139,""))+SUM(IF(AN46:AN139="bbbb",$P$46:$P$139,""))+SUM(IF(AN46:AN139="cccc",$P$46:$P$139,""))+SUM(IF(AN46:AN139="dddd",$P$46:$P$139,""))+SUM(IF(AN46:AN139="eeee",$P$46:$P$139,""))+SUM(IF(AN46:AN139="ffff",$P$46:$P$139,""))+SUM(IF(AN46:AN139="gggg",$P$46:$P$139,""))+SUM(IF(AN46:AN139="hhhh",$P$46:$P$139,""))+SUM(IF(AN46:AN139="iiii",$P$46:$P$139,""))+SUM(IF(AN46:AN139="jjjj",$P$46:$P$139,""))+SUM(IF(AN46:AN139="kkkk",$P$46:$P$139,""))+SUM(IF(AN46:AN139="llll",$P$46:$P$139,""))+SUM(IF(AN46:AN139="mmmm",$P$46:$P$139,""))+SUM(IF(AN46:AN139="nnnn",$P$46:$P$139,""))+SUM(IF(AN46:AN139="oooo",$P$46:$P$139,""))+SUM(IF(AN46:AN139="pppp",$P$46:$P$139,""))</f>
        <v>0</v>
      </c>
      <c r="AO157" t="s">
        <v>810</v>
      </c>
    </row>
    <row r="158" spans="20:41" ht="24" hidden="1" customHeight="1" x14ac:dyDescent="0.15">
      <c r="T158" s="201">
        <f t="shared" ref="T158:AC158" si="10">SUM(T154:T157)</f>
        <v>0</v>
      </c>
      <c r="U158" s="201">
        <f t="shared" si="10"/>
        <v>0</v>
      </c>
      <c r="V158" s="201">
        <f t="shared" si="10"/>
        <v>0</v>
      </c>
      <c r="W158" s="201">
        <f t="shared" si="10"/>
        <v>0</v>
      </c>
      <c r="X158" s="201">
        <f t="shared" si="10"/>
        <v>0</v>
      </c>
      <c r="Y158" s="201">
        <f t="shared" si="10"/>
        <v>0</v>
      </c>
      <c r="Z158" s="201">
        <f t="shared" si="10"/>
        <v>0</v>
      </c>
      <c r="AA158" s="201">
        <f t="shared" si="10"/>
        <v>0</v>
      </c>
      <c r="AB158" s="201">
        <f t="shared" si="10"/>
        <v>0</v>
      </c>
      <c r="AC158" s="111">
        <f t="shared" si="10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201">
        <f t="shared" ref="T164:AC164" si="11">SUM(T160:T163)</f>
        <v>0</v>
      </c>
      <c r="U164" s="201">
        <f t="shared" si="11"/>
        <v>0</v>
      </c>
      <c r="V164" s="201">
        <f t="shared" si="11"/>
        <v>0</v>
      </c>
      <c r="W164" s="201">
        <f t="shared" si="11"/>
        <v>0</v>
      </c>
      <c r="X164" s="201">
        <f t="shared" si="11"/>
        <v>0</v>
      </c>
      <c r="Y164" s="201">
        <f t="shared" si="11"/>
        <v>0</v>
      </c>
      <c r="Z164" s="201">
        <f t="shared" si="11"/>
        <v>0</v>
      </c>
      <c r="AA164" s="201">
        <f t="shared" si="11"/>
        <v>0</v>
      </c>
      <c r="AB164" s="201">
        <f t="shared" si="11"/>
        <v>0</v>
      </c>
      <c r="AC164" s="111">
        <f t="shared" si="11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202">
        <f>IF($K7="障子",T158,IF($K7="外付けブラインド",T164,T152))</f>
        <v>0</v>
      </c>
      <c r="U166" s="202">
        <f>IF($K8="障子",U158,IF($K8="外付けブラインド",U164,U152))</f>
        <v>0</v>
      </c>
      <c r="V166" s="202">
        <f>IF($K9="障子",V158,IF($K9="外付けブラインド",V164,V152))</f>
        <v>0</v>
      </c>
      <c r="W166" s="202">
        <f>IF($K10="障子",W158,IF($K10="外付けブラインド",W164,W152))</f>
        <v>0</v>
      </c>
      <c r="X166" s="202">
        <f>IF($K11="障子",X158,IF($K11="外付けブラインド",X164,X152))</f>
        <v>0</v>
      </c>
      <c r="Y166" s="202">
        <f>IF($K12="障子",Y158,IF($K12="外付けブラインド",Y164,Y152))</f>
        <v>0</v>
      </c>
      <c r="Z166" s="202">
        <f>IF($K13="障子",Z158,IF($K13="外付けブラインド",Z164,Z152))</f>
        <v>0</v>
      </c>
      <c r="AA166" s="202">
        <f>IF($K14="障子",AA158,IF($K14="外付けブラインド",AA164,AA152))</f>
        <v>0</v>
      </c>
      <c r="AB166" s="202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245" t="s">
        <v>846</v>
      </c>
      <c r="H172" t="s">
        <v>7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M173" s="118"/>
      <c r="X173" s="116"/>
      <c r="Y173" s="58"/>
      <c r="Z173" s="75"/>
      <c r="AA173" s="75"/>
      <c r="AB173" s="75"/>
      <c r="AC173" s="75"/>
      <c r="AD173" s="75"/>
      <c r="AE173" s="75"/>
      <c r="AF173" s="75"/>
      <c r="AG173" s="75"/>
      <c r="AH173" s="75"/>
    </row>
    <row r="174" spans="2:41" ht="24" hidden="1" customHeight="1" x14ac:dyDescent="0.15">
      <c r="B174" s="80" t="s">
        <v>793</v>
      </c>
      <c r="C174" s="115">
        <v>2.33</v>
      </c>
      <c r="G174" t="s">
        <v>330</v>
      </c>
      <c r="H174" s="111" t="e">
        <f>VLOOKUP(O23,$B$173:$C$187,2,0)</f>
        <v>#N/A</v>
      </c>
      <c r="M174" s="118"/>
      <c r="X174" s="116"/>
      <c r="Y174" s="58"/>
      <c r="Z174" s="75"/>
      <c r="AA174" s="75"/>
      <c r="AB174" s="75"/>
      <c r="AC174" s="75"/>
      <c r="AD174" s="75"/>
      <c r="AE174" s="75"/>
      <c r="AF174" s="75"/>
      <c r="AG174" s="75"/>
      <c r="AH174" s="75"/>
    </row>
    <row r="175" spans="2:41" ht="24" hidden="1" customHeight="1" x14ac:dyDescent="0.15">
      <c r="B175" s="80" t="s">
        <v>794</v>
      </c>
      <c r="C175" s="115">
        <v>2.91</v>
      </c>
      <c r="X175" s="116"/>
      <c r="Y175" s="58"/>
      <c r="Z175" s="75"/>
      <c r="AA175" s="75"/>
      <c r="AB175" s="75"/>
      <c r="AC175" s="75"/>
      <c r="AD175" s="75"/>
      <c r="AE175" s="75"/>
      <c r="AF175" s="75"/>
      <c r="AG175" s="75"/>
      <c r="AH175" s="75"/>
    </row>
    <row r="176" spans="2:41" ht="24" hidden="1" customHeight="1" x14ac:dyDescent="0.15">
      <c r="B176" s="80" t="s">
        <v>790</v>
      </c>
      <c r="C176" s="115">
        <v>2.91</v>
      </c>
      <c r="X176" s="116"/>
      <c r="Y176" s="58"/>
      <c r="Z176" s="75"/>
      <c r="AA176" s="75"/>
      <c r="AB176" s="75"/>
      <c r="AC176" s="75"/>
      <c r="AD176" s="75"/>
      <c r="AE176" s="75"/>
      <c r="AF176" s="75"/>
      <c r="AG176" s="75"/>
      <c r="AH176" s="75"/>
    </row>
    <row r="177" spans="2:34" ht="24" hidden="1" customHeight="1" x14ac:dyDescent="0.15">
      <c r="B177" s="80" t="s">
        <v>792</v>
      </c>
      <c r="C177" s="115">
        <v>2.33</v>
      </c>
      <c r="X177" s="78"/>
      <c r="Y177" s="58"/>
      <c r="Z177" s="75"/>
      <c r="AA177" s="75"/>
      <c r="AB177" s="75"/>
      <c r="AC177" s="75"/>
      <c r="AD177" s="75"/>
      <c r="AE177" s="75"/>
      <c r="AF177" s="75"/>
      <c r="AG177" s="75"/>
      <c r="AH177" s="75"/>
    </row>
    <row r="178" spans="2:34" ht="24" hidden="1" customHeight="1" x14ac:dyDescent="0.15">
      <c r="B178" s="80" t="s">
        <v>795</v>
      </c>
      <c r="C178" s="115">
        <v>1.75</v>
      </c>
      <c r="X178" s="78"/>
      <c r="Y178" s="58"/>
      <c r="Z178" s="75"/>
      <c r="AA178" s="75"/>
      <c r="AB178" s="75"/>
      <c r="AC178" s="75"/>
      <c r="AD178" s="75"/>
      <c r="AE178" s="75"/>
      <c r="AF178" s="75"/>
      <c r="AG178" s="75"/>
      <c r="AH178" s="75"/>
    </row>
    <row r="179" spans="2:34" ht="24" hidden="1" customHeight="1" x14ac:dyDescent="0.15">
      <c r="B179" s="80" t="s">
        <v>796</v>
      </c>
      <c r="C179" s="115">
        <v>2.33</v>
      </c>
      <c r="X179" s="78"/>
      <c r="Y179" s="58"/>
      <c r="Z179" s="75"/>
      <c r="AA179" s="75"/>
      <c r="AB179" s="75"/>
      <c r="AC179" s="75"/>
      <c r="AD179" s="75"/>
      <c r="AE179" s="75"/>
      <c r="AF179" s="75"/>
      <c r="AG179" s="75"/>
      <c r="AH179" s="75"/>
    </row>
    <row r="180" spans="2:34" ht="24" hidden="1" customHeight="1" x14ac:dyDescent="0.15">
      <c r="B180" s="80" t="s">
        <v>797</v>
      </c>
      <c r="C180" s="115">
        <v>2.91</v>
      </c>
      <c r="X180" s="78"/>
      <c r="Y180" s="58"/>
      <c r="Z180" s="75"/>
      <c r="AA180" s="75"/>
      <c r="AB180" s="75"/>
      <c r="AC180" s="75"/>
      <c r="AD180" s="75"/>
      <c r="AE180" s="75"/>
      <c r="AF180" s="75"/>
      <c r="AG180" s="75"/>
      <c r="AH180" s="75"/>
    </row>
    <row r="181" spans="2:34" ht="24" hidden="1" customHeight="1" x14ac:dyDescent="0.15">
      <c r="B181" s="80" t="s">
        <v>798</v>
      </c>
      <c r="C181" s="115">
        <v>2.91</v>
      </c>
      <c r="X181" s="78"/>
      <c r="Y181" s="76"/>
      <c r="Z181" s="75"/>
      <c r="AA181" s="75"/>
      <c r="AB181" s="75"/>
      <c r="AC181" s="75"/>
      <c r="AD181" s="75"/>
      <c r="AE181" s="75"/>
      <c r="AF181" s="75"/>
      <c r="AG181" s="75"/>
      <c r="AH181" s="75"/>
    </row>
    <row r="182" spans="2:34" ht="24" hidden="1" customHeight="1" x14ac:dyDescent="0.15">
      <c r="B182" s="80" t="s">
        <v>800</v>
      </c>
      <c r="C182" s="115">
        <v>2.33</v>
      </c>
      <c r="X182" s="78"/>
      <c r="Y182" s="58"/>
      <c r="Z182" s="75"/>
      <c r="AA182" s="75"/>
      <c r="AB182" s="75"/>
      <c r="AC182" s="75"/>
      <c r="AD182" s="75"/>
      <c r="AE182" s="75"/>
      <c r="AF182" s="75"/>
      <c r="AG182" s="75"/>
      <c r="AH182" s="75"/>
    </row>
    <row r="183" spans="2:34" ht="24" hidden="1" customHeight="1" x14ac:dyDescent="0.15">
      <c r="B183" s="80" t="s">
        <v>802</v>
      </c>
      <c r="C183" s="115">
        <v>3.49</v>
      </c>
      <c r="X183" s="78"/>
      <c r="Y183" s="58"/>
      <c r="Z183" s="75"/>
      <c r="AA183" s="75"/>
      <c r="AB183" s="75"/>
      <c r="AC183" s="75"/>
      <c r="AD183" s="75"/>
      <c r="AE183" s="75"/>
      <c r="AF183" s="75"/>
      <c r="AG183" s="75"/>
      <c r="AH183" s="75"/>
    </row>
    <row r="184" spans="2:34" ht="24" hidden="1" customHeight="1" x14ac:dyDescent="0.15">
      <c r="B184" s="80" t="s">
        <v>804</v>
      </c>
      <c r="C184" s="115">
        <v>3.49</v>
      </c>
      <c r="J184" s="118"/>
    </row>
    <row r="185" spans="2:34" ht="24" hidden="1" customHeight="1" x14ac:dyDescent="0.15">
      <c r="B185" s="80" t="s">
        <v>805</v>
      </c>
      <c r="C185" s="115">
        <v>4.6500000000000004</v>
      </c>
      <c r="J185" s="118"/>
    </row>
    <row r="186" spans="2:34" ht="24" hidden="1" customHeight="1" x14ac:dyDescent="0.15">
      <c r="B186" s="80" t="s">
        <v>807</v>
      </c>
      <c r="C186" s="115">
        <v>4.07</v>
      </c>
      <c r="J186" s="118"/>
    </row>
    <row r="187" spans="2:34" ht="24" hidden="1" customHeight="1" x14ac:dyDescent="0.15">
      <c r="B187" s="80" t="s">
        <v>809</v>
      </c>
      <c r="C187" s="115">
        <v>4.6500000000000004</v>
      </c>
      <c r="J187" s="118"/>
    </row>
  </sheetData>
  <sheetProtection algorithmName="SHA-512" hashValue="IK+HtorFIR/xzNDnEtx6jSc6pQmiUuZoTFPB53grHiCtvIMfg4T1RXYI6wSasOZQyiXCVB5R/BqtYaVV3TmZZg==" saltValue="+B0P8E+nCVni5/ZHDmdXkQ==" spinCount="100000" sheet="1" objects="1" scenarios="1" selectLockedCells="1"/>
  <mergeCells count="242">
    <mergeCell ref="U10:V10"/>
    <mergeCell ref="W10:X10"/>
    <mergeCell ref="Y10:Z10"/>
    <mergeCell ref="A8:B8"/>
    <mergeCell ref="C8:D8"/>
    <mergeCell ref="E8:F8"/>
    <mergeCell ref="G11:H11"/>
    <mergeCell ref="I11:J11"/>
    <mergeCell ref="K11:L11"/>
    <mergeCell ref="Y11:Z11"/>
    <mergeCell ref="M11:N11"/>
    <mergeCell ref="O11:P11"/>
    <mergeCell ref="Q11:R11"/>
    <mergeCell ref="S11:T11"/>
    <mergeCell ref="U11:V11"/>
    <mergeCell ref="W11:X11"/>
    <mergeCell ref="U8:V8"/>
    <mergeCell ref="U9:V9"/>
    <mergeCell ref="W9:X9"/>
    <mergeCell ref="Y9:Z9"/>
    <mergeCell ref="AC5:AD5"/>
    <mergeCell ref="O5:T5"/>
    <mergeCell ref="Y4:Z6"/>
    <mergeCell ref="G8:H8"/>
    <mergeCell ref="W8:X8"/>
    <mergeCell ref="Y8:Z8"/>
    <mergeCell ref="Y7:Z7"/>
    <mergeCell ref="O7:P7"/>
    <mergeCell ref="S7:T7"/>
    <mergeCell ref="O8:P8"/>
    <mergeCell ref="G4:H6"/>
    <mergeCell ref="Q8:R8"/>
    <mergeCell ref="U7:V7"/>
    <mergeCell ref="K4:L6"/>
    <mergeCell ref="A7:B7"/>
    <mergeCell ref="A1:Z1"/>
    <mergeCell ref="Q3:T3"/>
    <mergeCell ref="U3:V3"/>
    <mergeCell ref="W3:X3"/>
    <mergeCell ref="A4:B6"/>
    <mergeCell ref="M4:T4"/>
    <mergeCell ref="W7:X7"/>
    <mergeCell ref="M5:N6"/>
    <mergeCell ref="Q7:R7"/>
    <mergeCell ref="M7:N7"/>
    <mergeCell ref="O6:P6"/>
    <mergeCell ref="Q6:R6"/>
    <mergeCell ref="C7:D7"/>
    <mergeCell ref="E7:F7"/>
    <mergeCell ref="C5:D6"/>
    <mergeCell ref="I4:J6"/>
    <mergeCell ref="E5:F6"/>
    <mergeCell ref="C4:F4"/>
    <mergeCell ref="K7:L7"/>
    <mergeCell ref="O13:P13"/>
    <mergeCell ref="S8:T8"/>
    <mergeCell ref="K12:L12"/>
    <mergeCell ref="O12:P12"/>
    <mergeCell ref="Q12:R12"/>
    <mergeCell ref="Q13:R13"/>
    <mergeCell ref="M12:N12"/>
    <mergeCell ref="M13:N13"/>
    <mergeCell ref="K8:L8"/>
    <mergeCell ref="M8:N8"/>
    <mergeCell ref="K9:L9"/>
    <mergeCell ref="M9:N9"/>
    <mergeCell ref="K10:L10"/>
    <mergeCell ref="M10:N10"/>
    <mergeCell ref="O10:P10"/>
    <mergeCell ref="Q10:R10"/>
    <mergeCell ref="S10:T10"/>
    <mergeCell ref="A13:B13"/>
    <mergeCell ref="C13:D13"/>
    <mergeCell ref="E13:F13"/>
    <mergeCell ref="I12:J12"/>
    <mergeCell ref="I8:J8"/>
    <mergeCell ref="A12:B12"/>
    <mergeCell ref="C12:D12"/>
    <mergeCell ref="E12:F12"/>
    <mergeCell ref="A9:B9"/>
    <mergeCell ref="C9:D9"/>
    <mergeCell ref="E9:F9"/>
    <mergeCell ref="A11:B11"/>
    <mergeCell ref="C11:D11"/>
    <mergeCell ref="E11:F11"/>
    <mergeCell ref="G13:H13"/>
    <mergeCell ref="G9:H9"/>
    <mergeCell ref="I9:J9"/>
    <mergeCell ref="G12:H12"/>
    <mergeCell ref="A10:B10"/>
    <mergeCell ref="C10:D10"/>
    <mergeCell ref="E10:F10"/>
    <mergeCell ref="G10:H10"/>
    <mergeCell ref="I13:J13"/>
    <mergeCell ref="I10:J10"/>
    <mergeCell ref="C14:D14"/>
    <mergeCell ref="E14:F14"/>
    <mergeCell ref="A14:B14"/>
    <mergeCell ref="G14:H14"/>
    <mergeCell ref="K14:L14"/>
    <mergeCell ref="M14:N14"/>
    <mergeCell ref="I14:J14"/>
    <mergeCell ref="G15:H15"/>
    <mergeCell ref="I15:J15"/>
    <mergeCell ref="M15:N15"/>
    <mergeCell ref="C15:D15"/>
    <mergeCell ref="K15:L15"/>
    <mergeCell ref="A35:B38"/>
    <mergeCell ref="C35:I35"/>
    <mergeCell ref="U32:V32"/>
    <mergeCell ref="W32:X32"/>
    <mergeCell ref="X35:Y35"/>
    <mergeCell ref="T35:U35"/>
    <mergeCell ref="I32:T32"/>
    <mergeCell ref="A16:B16"/>
    <mergeCell ref="S20:T21"/>
    <mergeCell ref="G16:H16"/>
    <mergeCell ref="C16:D16"/>
    <mergeCell ref="E16:F16"/>
    <mergeCell ref="K16:L16"/>
    <mergeCell ref="Y20:Z21"/>
    <mergeCell ref="M21:N21"/>
    <mergeCell ref="K22:L22"/>
    <mergeCell ref="M22:N22"/>
    <mergeCell ref="S22:T22"/>
    <mergeCell ref="U22:V22"/>
    <mergeCell ref="Y22:Z22"/>
    <mergeCell ref="K21:L21"/>
    <mergeCell ref="K20:N20"/>
    <mergeCell ref="I16:J16"/>
    <mergeCell ref="Y16:Z16"/>
    <mergeCell ref="O20:R21"/>
    <mergeCell ref="U17:V17"/>
    <mergeCell ref="W17:X17"/>
    <mergeCell ref="S15:T15"/>
    <mergeCell ref="U15:V15"/>
    <mergeCell ref="W15:X15"/>
    <mergeCell ref="A17:T17"/>
    <mergeCell ref="O16:P16"/>
    <mergeCell ref="Q16:R16"/>
    <mergeCell ref="S16:T16"/>
    <mergeCell ref="U16:V16"/>
    <mergeCell ref="W16:X16"/>
    <mergeCell ref="A15:B15"/>
    <mergeCell ref="Q15:R15"/>
    <mergeCell ref="O15:P15"/>
    <mergeCell ref="AG5:AH5"/>
    <mergeCell ref="V38:X38"/>
    <mergeCell ref="M31:N31"/>
    <mergeCell ref="O31:P31"/>
    <mergeCell ref="Q31:R31"/>
    <mergeCell ref="U31:V31"/>
    <mergeCell ref="U20:V21"/>
    <mergeCell ref="W20:X21"/>
    <mergeCell ref="E15:F15"/>
    <mergeCell ref="U12:V12"/>
    <mergeCell ref="W12:X12"/>
    <mergeCell ref="Y13:Z13"/>
    <mergeCell ref="Y14:Z14"/>
    <mergeCell ref="U13:V13"/>
    <mergeCell ref="S13:T13"/>
    <mergeCell ref="Y12:Z12"/>
    <mergeCell ref="W13:X13"/>
    <mergeCell ref="S12:T12"/>
    <mergeCell ref="Q14:R14"/>
    <mergeCell ref="S14:T14"/>
    <mergeCell ref="U14:V14"/>
    <mergeCell ref="W14:X14"/>
    <mergeCell ref="K13:L13"/>
    <mergeCell ref="O14:P14"/>
    <mergeCell ref="I29:J29"/>
    <mergeCell ref="K29:L29"/>
    <mergeCell ref="I30:J30"/>
    <mergeCell ref="K30:L30"/>
    <mergeCell ref="I31:J31"/>
    <mergeCell ref="K31:L31"/>
    <mergeCell ref="AM5:AN5"/>
    <mergeCell ref="C36:I36"/>
    <mergeCell ref="V36:X36"/>
    <mergeCell ref="Y32:Z32"/>
    <mergeCell ref="AM18:AN18"/>
    <mergeCell ref="Y17:Z17"/>
    <mergeCell ref="Y15:Z15"/>
    <mergeCell ref="I20:J21"/>
    <mergeCell ref="M16:N16"/>
    <mergeCell ref="O9:P9"/>
    <mergeCell ref="Q9:R9"/>
    <mergeCell ref="S9:T9"/>
    <mergeCell ref="G7:H7"/>
    <mergeCell ref="I7:J7"/>
    <mergeCell ref="AJ5:AK5"/>
    <mergeCell ref="S6:T6"/>
    <mergeCell ref="U4:V6"/>
    <mergeCell ref="W4:X6"/>
    <mergeCell ref="Y24:Z24"/>
    <mergeCell ref="W27:X28"/>
    <mergeCell ref="Y27:Z28"/>
    <mergeCell ref="U23:V23"/>
    <mergeCell ref="K23:L23"/>
    <mergeCell ref="K27:L28"/>
    <mergeCell ref="C38:I38"/>
    <mergeCell ref="C37:I37"/>
    <mergeCell ref="V37:X37"/>
    <mergeCell ref="M29:N29"/>
    <mergeCell ref="O29:P29"/>
    <mergeCell ref="K35:M35"/>
    <mergeCell ref="P35:Q35"/>
    <mergeCell ref="O23:R23"/>
    <mergeCell ref="Q30:R30"/>
    <mergeCell ref="I23:J23"/>
    <mergeCell ref="S29:T29"/>
    <mergeCell ref="U29:V29"/>
    <mergeCell ref="S30:T30"/>
    <mergeCell ref="U30:V30"/>
    <mergeCell ref="I27:J28"/>
    <mergeCell ref="M30:N30"/>
    <mergeCell ref="O30:P30"/>
    <mergeCell ref="W30:X30"/>
    <mergeCell ref="O44:Q44"/>
    <mergeCell ref="Y29:Z29"/>
    <mergeCell ref="Y30:Z30"/>
    <mergeCell ref="W31:X31"/>
    <mergeCell ref="S31:T31"/>
    <mergeCell ref="Y31:Z31"/>
    <mergeCell ref="AM20:AN20"/>
    <mergeCell ref="W22:X22"/>
    <mergeCell ref="I24:T24"/>
    <mergeCell ref="S27:T28"/>
    <mergeCell ref="O22:R22"/>
    <mergeCell ref="W23:X23"/>
    <mergeCell ref="S23:T23"/>
    <mergeCell ref="M23:N23"/>
    <mergeCell ref="W29:X29"/>
    <mergeCell ref="M27:N28"/>
    <mergeCell ref="O27:P28"/>
    <mergeCell ref="Q27:R28"/>
    <mergeCell ref="U27:V28"/>
    <mergeCell ref="Q29:R29"/>
    <mergeCell ref="I22:J22"/>
    <mergeCell ref="Y23:Z23"/>
    <mergeCell ref="U24:V24"/>
    <mergeCell ref="W24:X24"/>
  </mergeCells>
  <phoneticPr fontId="2"/>
  <conditionalFormatting sqref="U17:V17">
    <cfRule type="expression" dxfId="155" priority="31" stopIfTrue="1">
      <formula>$U$17=0</formula>
    </cfRule>
  </conditionalFormatting>
  <conditionalFormatting sqref="W17:X17">
    <cfRule type="expression" dxfId="154" priority="30" stopIfTrue="1">
      <formula>$W$17=0</formula>
    </cfRule>
  </conditionalFormatting>
  <conditionalFormatting sqref="Y17:Z17">
    <cfRule type="expression" dxfId="153" priority="29" stopIfTrue="1">
      <formula>$Y$17=0</formula>
    </cfRule>
  </conditionalFormatting>
  <conditionalFormatting sqref="U24:Z24">
    <cfRule type="expression" dxfId="152" priority="28" stopIfTrue="1">
      <formula>$U$24:$Z$24=0</formula>
    </cfRule>
  </conditionalFormatting>
  <conditionalFormatting sqref="U32:V32">
    <cfRule type="expression" dxfId="151" priority="27" stopIfTrue="1">
      <formula>$U$32:$V$32=0</formula>
    </cfRule>
  </conditionalFormatting>
  <conditionalFormatting sqref="X35:Y35">
    <cfRule type="expression" dxfId="150" priority="26" stopIfTrue="1">
      <formula>$X$35=0</formula>
    </cfRule>
  </conditionalFormatting>
  <conditionalFormatting sqref="P35:Q35">
    <cfRule type="expression" dxfId="149" priority="25" stopIfTrue="1">
      <formula>$P$35=0</formula>
    </cfRule>
  </conditionalFormatting>
  <conditionalFormatting sqref="T35:U35">
    <cfRule type="expression" dxfId="148" priority="24" stopIfTrue="1">
      <formula>$T$35=0</formula>
    </cfRule>
  </conditionalFormatting>
  <conditionalFormatting sqref="K35:M35">
    <cfRule type="expression" dxfId="147" priority="23" stopIfTrue="1">
      <formula>$K$35=0</formula>
    </cfRule>
  </conditionalFormatting>
  <conditionalFormatting sqref="W7:X7">
    <cfRule type="expression" dxfId="146" priority="21" stopIfTrue="1">
      <formula>#VALUE!</formula>
    </cfRule>
    <cfRule type="expression" dxfId="145" priority="22" stopIfTrue="1">
      <formula>#VALUE!</formula>
    </cfRule>
  </conditionalFormatting>
  <conditionalFormatting sqref="W16:X16">
    <cfRule type="expression" dxfId="144" priority="20" stopIfTrue="1">
      <formula>#VALUE!</formula>
    </cfRule>
  </conditionalFormatting>
  <conditionalFormatting sqref="O7:T16">
    <cfRule type="expression" dxfId="143" priority="6" stopIfTrue="1">
      <formula>$AF7=TRUE</formula>
    </cfRule>
  </conditionalFormatting>
  <conditionalFormatting sqref="W7:X7">
    <cfRule type="expression" dxfId="142" priority="4" stopIfTrue="1">
      <formula>#VALUE!</formula>
    </cfRule>
    <cfRule type="expression" dxfId="141" priority="5" stopIfTrue="1">
      <formula>#VALUE!</formula>
    </cfRule>
  </conditionalFormatting>
  <conditionalFormatting sqref="W16:X16">
    <cfRule type="expression" dxfId="140" priority="3" stopIfTrue="1">
      <formula>#VALUE!</formula>
    </cfRule>
  </conditionalFormatting>
  <conditionalFormatting sqref="W32:X32">
    <cfRule type="expression" dxfId="139" priority="2" stopIfTrue="1">
      <formula>$W$32:$X$32=0</formula>
    </cfRule>
  </conditionalFormatting>
  <conditionalFormatting sqref="Y32:Z32">
    <cfRule type="expression" dxfId="138" priority="1" stopIfTrue="1">
      <formula>$Y$32:$Z$32=0</formula>
    </cfRule>
  </conditionalFormatting>
  <dataValidations count="6">
    <dataValidation type="list" allowBlank="1" showInputMessage="1" showErrorMessage="1" sqref="I7:J16" xr:uid="{00000000-0002-0000-0400-000000000000}">
      <formula1>INDIRECT(G7)</formula1>
    </dataValidation>
    <dataValidation type="list" allowBlank="1" showInputMessage="1" showErrorMessage="1" sqref="I29:I31" xr:uid="{00000000-0002-0000-0400-000001000000}">
      <formula1>"W-1,W-2,W-3"</formula1>
    </dataValidation>
    <dataValidation type="list" allowBlank="1" showInputMessage="1" showErrorMessage="1" sqref="K7:L16" xr:uid="{00000000-0002-0000-0400-000002000000}">
      <formula1>"　,雨戸,ｼｬｯﾀｰ,障子,風除室,外付けブラインド"</formula1>
    </dataValidation>
    <dataValidation type="list" allowBlank="1" showInputMessage="1" showErrorMessage="1" sqref="S22:T23" xr:uid="{00000000-0002-0000-0400-000003000000}">
      <formula1>"あり,なし"</formula1>
    </dataValidation>
    <dataValidation type="list" allowBlank="1" showInputMessage="1" showErrorMessage="1" sqref="G7:H16" xr:uid="{00000000-0002-0000-0400-000004000000}">
      <formula1>建具の仕様_北</formula1>
    </dataValidation>
    <dataValidation type="list" allowBlank="1" showInputMessage="1" showErrorMessage="1" sqref="O22:R23" xr:uid="{00000000-0002-0000-0400-000005000000}">
      <formula1>建具の構成_北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8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9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3" r:id="rId11" name="Check Box 321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4" r:id="rId12" name="Check Box 322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5" r:id="rId13" name="Check Box 323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1" r:id="rId14" name="Check Box 359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2" r:id="rId15" name="Check Box 360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3" r:id="rId16" name="Check Box 361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1" width="3.625" hidden="1" customWidth="1"/>
    <col min="42" max="42" width="3.625" customWidth="1"/>
    <col min="43" max="54" width="4.5" customWidth="1"/>
  </cols>
  <sheetData>
    <row r="1" spans="1:53" s="1" customFormat="1" ht="30" customHeight="1" x14ac:dyDescent="0.15">
      <c r="A1" s="492" t="s">
        <v>338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498" t="b">
        <f>IF(共通条件・結果!Z6="８地域","0.414",IF(共通条件・結果!Z6="７地域",0.415,IF(共通条件・結果!Z6="６地域",0.431,IF(共通条件・結果!Z6="５地域",0.437,IF(共通条件・結果!Z6="４地域",0.426,IF(共通条件・結果!Z6="３地域",0.39,IF(共通条件・結果!Z6="２地域",0.412,IF(共通条件・結果!Z6="１地域",0.43))))))))</f>
        <v>0</v>
      </c>
      <c r="V3" s="499"/>
      <c r="W3" s="498" t="b">
        <f>IF(共通条件・結果!Z6="８地域","-",IF(共通条件・結果!Z6="７地域",0.281,IF(共通条件・結果!Z6="６地域",0.325,IF(共通条件・結果!Z6="５地域",0.31,IF(共通条件・結果!Z6="４地域",0.33,IF(共通条件・結果!Z6="３地域",0.348,IF(共通条件・結果!Z6="２地域",0.341,IF(共通条件・結果!Z6="１地域",0.333))))))))</f>
        <v>0</v>
      </c>
      <c r="X3" s="499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491"/>
      <c r="C7" s="475"/>
      <c r="D7" s="476"/>
      <c r="E7" s="476"/>
      <c r="F7" s="477"/>
      <c r="G7" s="429"/>
      <c r="H7" s="430"/>
      <c r="I7" s="431"/>
      <c r="J7" s="432"/>
      <c r="K7" s="473"/>
      <c r="L7" s="47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 t="shared" ref="Y7:Y16" si="1"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460"/>
      <c r="C8" s="485"/>
      <c r="D8" s="442"/>
      <c r="E8" s="442"/>
      <c r="F8" s="443"/>
      <c r="G8" s="486"/>
      <c r="H8" s="487"/>
      <c r="I8" s="486"/>
      <c r="J8" s="487"/>
      <c r="K8" s="446"/>
      <c r="L8" s="446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3">IF(C8="","",IF(ISERROR(AD8),#VALUE!,AD8))</f>
        <v/>
      </c>
      <c r="X8" s="354"/>
      <c r="Y8" s="354" t="str">
        <f t="shared" si="1"/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0"/>
      <c r="BA8" s="80"/>
    </row>
    <row r="9" spans="1:53" s="2" customFormat="1" ht="34.5" customHeight="1" x14ac:dyDescent="0.15">
      <c r="A9" s="459"/>
      <c r="B9" s="460"/>
      <c r="C9" s="485"/>
      <c r="D9" s="442"/>
      <c r="E9" s="442"/>
      <c r="F9" s="443"/>
      <c r="G9" s="486"/>
      <c r="H9" s="487"/>
      <c r="I9" s="486"/>
      <c r="J9" s="487"/>
      <c r="K9" s="446"/>
      <c r="L9" s="446"/>
      <c r="M9" s="488"/>
      <c r="N9" s="489"/>
      <c r="O9" s="425"/>
      <c r="P9" s="426"/>
      <c r="Q9" s="427"/>
      <c r="R9" s="428"/>
      <c r="S9" s="425"/>
      <c r="T9" s="426"/>
      <c r="U9" s="354" t="str">
        <f t="shared" si="0"/>
        <v/>
      </c>
      <c r="V9" s="354"/>
      <c r="W9" s="354" t="str">
        <f t="shared" si="3"/>
        <v/>
      </c>
      <c r="X9" s="354"/>
      <c r="Y9" s="354" t="str">
        <f t="shared" si="1"/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0"/>
      <c r="BA9" s="80"/>
    </row>
    <row r="10" spans="1:53" s="2" customFormat="1" ht="34.5" customHeight="1" x14ac:dyDescent="0.15">
      <c r="A10" s="459"/>
      <c r="B10" s="460"/>
      <c r="C10" s="485"/>
      <c r="D10" s="442"/>
      <c r="E10" s="442"/>
      <c r="F10" s="443"/>
      <c r="G10" s="486"/>
      <c r="H10" s="487"/>
      <c r="I10" s="486"/>
      <c r="J10" s="487"/>
      <c r="K10" s="446"/>
      <c r="L10" s="446"/>
      <c r="M10" s="488"/>
      <c r="N10" s="489"/>
      <c r="O10" s="425"/>
      <c r="P10" s="426"/>
      <c r="Q10" s="427"/>
      <c r="R10" s="428"/>
      <c r="S10" s="425"/>
      <c r="T10" s="426"/>
      <c r="U10" s="354" t="str">
        <f t="shared" si="0"/>
        <v/>
      </c>
      <c r="V10" s="354"/>
      <c r="W10" s="354" t="str">
        <f t="shared" si="3"/>
        <v/>
      </c>
      <c r="X10" s="354"/>
      <c r="Y10" s="354" t="str">
        <f t="shared" si="1"/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0"/>
      <c r="BA10" s="80"/>
    </row>
    <row r="11" spans="1:53" s="2" customFormat="1" ht="34.5" customHeight="1" x14ac:dyDescent="0.15">
      <c r="A11" s="459"/>
      <c r="B11" s="460"/>
      <c r="C11" s="485"/>
      <c r="D11" s="442"/>
      <c r="E11" s="442"/>
      <c r="F11" s="443"/>
      <c r="G11" s="486"/>
      <c r="H11" s="487"/>
      <c r="I11" s="486"/>
      <c r="J11" s="487"/>
      <c r="K11" s="446"/>
      <c r="L11" s="446"/>
      <c r="M11" s="488"/>
      <c r="N11" s="489"/>
      <c r="O11" s="425"/>
      <c r="P11" s="426"/>
      <c r="Q11" s="427"/>
      <c r="R11" s="428"/>
      <c r="S11" s="425"/>
      <c r="T11" s="426"/>
      <c r="U11" s="354" t="str">
        <f t="shared" si="0"/>
        <v/>
      </c>
      <c r="V11" s="354"/>
      <c r="W11" s="354" t="str">
        <f t="shared" si="3"/>
        <v/>
      </c>
      <c r="X11" s="354"/>
      <c r="Y11" s="354" t="str">
        <f t="shared" si="1"/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0"/>
      <c r="BA11" s="80"/>
    </row>
    <row r="12" spans="1:53" s="2" customFormat="1" ht="34.5" customHeight="1" x14ac:dyDescent="0.15">
      <c r="A12" s="459"/>
      <c r="B12" s="460"/>
      <c r="C12" s="485"/>
      <c r="D12" s="442"/>
      <c r="E12" s="442"/>
      <c r="F12" s="443"/>
      <c r="G12" s="486"/>
      <c r="H12" s="487"/>
      <c r="I12" s="486"/>
      <c r="J12" s="487"/>
      <c r="K12" s="446"/>
      <c r="L12" s="446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3"/>
        <v/>
      </c>
      <c r="X12" s="354"/>
      <c r="Y12" s="354" t="str">
        <f t="shared" si="1"/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0"/>
      <c r="BA12" s="80"/>
    </row>
    <row r="13" spans="1:53" s="2" customFormat="1" ht="34.5" customHeight="1" x14ac:dyDescent="0.15">
      <c r="A13" s="459"/>
      <c r="B13" s="460"/>
      <c r="C13" s="485"/>
      <c r="D13" s="442"/>
      <c r="E13" s="442"/>
      <c r="F13" s="443"/>
      <c r="G13" s="486"/>
      <c r="H13" s="487"/>
      <c r="I13" s="486"/>
      <c r="J13" s="487"/>
      <c r="K13" s="446"/>
      <c r="L13" s="446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3"/>
        <v/>
      </c>
      <c r="X13" s="354"/>
      <c r="Y13" s="354" t="str">
        <f t="shared" si="1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0"/>
      <c r="BA13" s="80"/>
    </row>
    <row r="14" spans="1:53" s="2" customFormat="1" ht="34.5" customHeight="1" x14ac:dyDescent="0.15">
      <c r="A14" s="459"/>
      <c r="B14" s="460"/>
      <c r="C14" s="485"/>
      <c r="D14" s="442"/>
      <c r="E14" s="442"/>
      <c r="F14" s="443"/>
      <c r="G14" s="486"/>
      <c r="H14" s="487"/>
      <c r="I14" s="486"/>
      <c r="J14" s="487"/>
      <c r="K14" s="446"/>
      <c r="L14" s="446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3"/>
        <v/>
      </c>
      <c r="X14" s="354"/>
      <c r="Y14" s="354" t="str">
        <f t="shared" si="1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0"/>
      <c r="BA14" s="80"/>
    </row>
    <row r="15" spans="1:53" s="2" customFormat="1" ht="34.5" customHeight="1" x14ac:dyDescent="0.15">
      <c r="A15" s="459"/>
      <c r="B15" s="460"/>
      <c r="C15" s="485"/>
      <c r="D15" s="442"/>
      <c r="E15" s="442"/>
      <c r="F15" s="443"/>
      <c r="G15" s="486"/>
      <c r="H15" s="487"/>
      <c r="I15" s="486"/>
      <c r="J15" s="487"/>
      <c r="K15" s="446"/>
      <c r="L15" s="446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3"/>
        <v/>
      </c>
      <c r="X15" s="354"/>
      <c r="Y15" s="354" t="str">
        <f t="shared" si="1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0"/>
      <c r="BA15" s="80"/>
    </row>
    <row r="16" spans="1:53" s="2" customFormat="1" ht="34.5" customHeight="1" thickBot="1" x14ac:dyDescent="0.2">
      <c r="A16" s="468"/>
      <c r="B16" s="469"/>
      <c r="C16" s="392"/>
      <c r="D16" s="374"/>
      <c r="E16" s="374"/>
      <c r="F16" s="375"/>
      <c r="G16" s="471"/>
      <c r="H16" s="472"/>
      <c r="I16" s="471"/>
      <c r="J16" s="472"/>
      <c r="K16" s="473"/>
      <c r="L16" s="473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3"/>
        <v/>
      </c>
      <c r="X16" s="354"/>
      <c r="Y16" s="360" t="str">
        <f t="shared" si="1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0"/>
      <c r="BA16" s="80"/>
    </row>
    <row r="17" spans="1:53" s="2" customFormat="1" ht="21.95" customHeight="1" thickBot="1" x14ac:dyDescent="0.2">
      <c r="A17" s="453" t="s">
        <v>345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346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347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39" s="2" customFormat="1" ht="10.5" customHeight="1" x14ac:dyDescent="0.15"/>
    <row r="34" spans="1:39" s="2" customFormat="1" ht="21.95" customHeight="1" thickBot="1" x14ac:dyDescent="0.2">
      <c r="A34" s="4" t="s">
        <v>348</v>
      </c>
    </row>
    <row r="35" spans="1:39" s="2" customFormat="1" ht="21.95" customHeight="1" x14ac:dyDescent="0.15">
      <c r="A35" s="461" t="s">
        <v>331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39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39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39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39" s="2" customFormat="1" ht="21.95" customHeight="1" x14ac:dyDescent="0.15"/>
    <row r="40" spans="1:39" s="2" customFormat="1" ht="21.95" customHeight="1" x14ac:dyDescent="0.15"/>
    <row r="41" spans="1:39" s="2" customFormat="1" ht="21.95" customHeight="1" x14ac:dyDescent="0.15"/>
    <row r="42" spans="1:39" s="2" customFormat="1" ht="21.95" hidden="1" customHeight="1" x14ac:dyDescent="0.15">
      <c r="B42" s="114" t="s">
        <v>266</v>
      </c>
    </row>
    <row r="43" spans="1:39" s="2" customFormat="1" ht="21.95" hidden="1" customHeight="1" x14ac:dyDescent="0.15">
      <c r="AC43" s="54"/>
      <c r="AD43" s="54"/>
    </row>
    <row r="44" spans="1:39" s="2" customFormat="1" ht="21.75" hidden="1" customHeight="1" x14ac:dyDescent="0.15">
      <c r="O44" s="351" t="s">
        <v>186</v>
      </c>
      <c r="P44" s="351"/>
      <c r="Q44" s="351"/>
      <c r="AC44" s="54"/>
      <c r="AD44" s="54"/>
    </row>
    <row r="45" spans="1:39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  <c r="AJ45" s="51" t="s">
        <v>838</v>
      </c>
    </row>
    <row r="46" spans="1:39" s="2" customFormat="1" ht="21.75" hidden="1" customHeight="1" x14ac:dyDescent="0.15">
      <c r="A46" s="30"/>
      <c r="B46" s="223" t="s">
        <v>833</v>
      </c>
      <c r="C46" s="224" t="s">
        <v>156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</row>
    <row r="47" spans="1:39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AJ47" s="209" t="s">
        <v>282</v>
      </c>
      <c r="AK47" s="210" t="s">
        <v>297</v>
      </c>
      <c r="AL47" s="211" t="s">
        <v>290</v>
      </c>
      <c r="AM47" s="212" t="s">
        <v>290</v>
      </c>
    </row>
    <row r="48" spans="1:39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AJ48" s="209" t="s">
        <v>283</v>
      </c>
      <c r="AK48" s="210" t="s">
        <v>298</v>
      </c>
      <c r="AL48" s="211" t="s">
        <v>291</v>
      </c>
      <c r="AM48" s="212" t="s">
        <v>291</v>
      </c>
    </row>
    <row r="49" spans="1:39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AJ49" s="209" t="s">
        <v>284</v>
      </c>
      <c r="AK49" s="210" t="s">
        <v>290</v>
      </c>
      <c r="AL49" s="211" t="s">
        <v>299</v>
      </c>
      <c r="AM49" s="212" t="s">
        <v>299</v>
      </c>
    </row>
    <row r="50" spans="1:39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AJ50" s="209" t="s">
        <v>285</v>
      </c>
      <c r="AK50" s="210" t="s">
        <v>291</v>
      </c>
      <c r="AL50" s="211" t="s">
        <v>300</v>
      </c>
      <c r="AM50" s="212" t="s">
        <v>300</v>
      </c>
    </row>
    <row r="51" spans="1:39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AJ51" s="209" t="s">
        <v>286</v>
      </c>
      <c r="AK51" s="210" t="s">
        <v>311</v>
      </c>
      <c r="AL51" s="211" t="s">
        <v>313</v>
      </c>
      <c r="AM51" s="212" t="s">
        <v>304</v>
      </c>
    </row>
    <row r="52" spans="1:39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AJ52" s="209" t="s">
        <v>287</v>
      </c>
      <c r="AK52" s="210" t="s">
        <v>312</v>
      </c>
      <c r="AL52" s="211" t="s">
        <v>314</v>
      </c>
      <c r="AM52" s="212" t="s">
        <v>305</v>
      </c>
    </row>
    <row r="53" spans="1:39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AJ53" s="209" t="s">
        <v>288</v>
      </c>
      <c r="AK53" s="210" t="s">
        <v>304</v>
      </c>
      <c r="AL53" s="211" t="s">
        <v>785</v>
      </c>
      <c r="AM53" s="212" t="s">
        <v>785</v>
      </c>
    </row>
    <row r="54" spans="1:39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AJ54" s="209" t="s">
        <v>289</v>
      </c>
      <c r="AK54" s="210" t="s">
        <v>305</v>
      </c>
      <c r="AL54" s="211" t="s">
        <v>786</v>
      </c>
      <c r="AM54" s="212" t="s">
        <v>786</v>
      </c>
    </row>
    <row r="55" spans="1:39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AJ55" s="209" t="s">
        <v>290</v>
      </c>
      <c r="AK55" s="210" t="s">
        <v>785</v>
      </c>
      <c r="AL55" s="211" t="s">
        <v>292</v>
      </c>
      <c r="AM55" s="212" t="s">
        <v>292</v>
      </c>
    </row>
    <row r="56" spans="1:39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AJ56" s="209" t="s">
        <v>291</v>
      </c>
      <c r="AK56" s="210" t="s">
        <v>786</v>
      </c>
      <c r="AL56" s="211" t="s">
        <v>293</v>
      </c>
      <c r="AM56" s="212" t="s">
        <v>293</v>
      </c>
    </row>
    <row r="57" spans="1:39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AJ57" s="209" t="s">
        <v>302</v>
      </c>
      <c r="AK57" s="210" t="s">
        <v>292</v>
      </c>
      <c r="AL57" s="211" t="s">
        <v>294</v>
      </c>
      <c r="AM57" s="212" t="s">
        <v>294</v>
      </c>
    </row>
    <row r="58" spans="1:39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AJ58" s="209" t="s">
        <v>303</v>
      </c>
      <c r="AK58" s="210" t="s">
        <v>293</v>
      </c>
      <c r="AL58" s="211" t="s">
        <v>295</v>
      </c>
      <c r="AM58" s="212" t="s">
        <v>295</v>
      </c>
    </row>
    <row r="59" spans="1:39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AJ59" s="209" t="s">
        <v>292</v>
      </c>
      <c r="AK59" s="210" t="s">
        <v>294</v>
      </c>
      <c r="AL59" s="211" t="s">
        <v>296</v>
      </c>
      <c r="AM59" s="212" t="s">
        <v>296</v>
      </c>
    </row>
    <row r="60" spans="1:39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AJ60" s="209" t="s">
        <v>293</v>
      </c>
      <c r="AK60" s="210" t="s">
        <v>295</v>
      </c>
      <c r="AL60" s="211" t="s">
        <v>306</v>
      </c>
      <c r="AM60" s="212" t="s">
        <v>315</v>
      </c>
    </row>
    <row r="61" spans="1:39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AJ61" s="209" t="s">
        <v>294</v>
      </c>
      <c r="AK61" s="210" t="s">
        <v>296</v>
      </c>
      <c r="AL61" s="211" t="s">
        <v>307</v>
      </c>
      <c r="AM61" s="212" t="s">
        <v>316</v>
      </c>
    </row>
    <row r="62" spans="1:39" s="2" customFormat="1" ht="21.75" hidden="1" customHeight="1" x14ac:dyDescent="0.15">
      <c r="A62" s="55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AJ62" s="209" t="s">
        <v>295</v>
      </c>
      <c r="AK62" s="210" t="s">
        <v>306</v>
      </c>
      <c r="AL62" s="211" t="s">
        <v>308</v>
      </c>
      <c r="AM62" s="212" t="s">
        <v>317</v>
      </c>
    </row>
    <row r="63" spans="1:39" s="2" customFormat="1" ht="21.75" hidden="1" customHeight="1" x14ac:dyDescent="0.15">
      <c r="A63" s="207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AJ63" s="209" t="s">
        <v>296</v>
      </c>
      <c r="AK63" s="210" t="s">
        <v>307</v>
      </c>
      <c r="AL63" s="211" t="s">
        <v>309</v>
      </c>
      <c r="AM63" s="212" t="s">
        <v>318</v>
      </c>
    </row>
    <row r="64" spans="1:39" s="2" customFormat="1" ht="21.75" hidden="1" customHeight="1" x14ac:dyDescent="0.15">
      <c r="A64" s="55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AJ64" s="209" t="s">
        <v>304</v>
      </c>
      <c r="AK64" s="210" t="s">
        <v>308</v>
      </c>
      <c r="AL64" s="211" t="s">
        <v>310</v>
      </c>
      <c r="AM64" s="212" t="s">
        <v>319</v>
      </c>
    </row>
    <row r="65" spans="1:39" s="2" customFormat="1" ht="21.75" hidden="1" customHeight="1" x14ac:dyDescent="0.15">
      <c r="A65" s="207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AJ65" s="209" t="s">
        <v>305</v>
      </c>
      <c r="AK65" s="210" t="s">
        <v>309</v>
      </c>
      <c r="AL65" s="213"/>
      <c r="AM65" s="212" t="s">
        <v>301</v>
      </c>
    </row>
    <row r="66" spans="1:39" s="2" customFormat="1" ht="21.75" hidden="1" customHeight="1" x14ac:dyDescent="0.15">
      <c r="A66" s="55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AJ66" s="209" t="s">
        <v>785</v>
      </c>
      <c r="AK66" s="210" t="s">
        <v>310</v>
      </c>
      <c r="AL66" s="213"/>
      <c r="AM66" s="212" t="s">
        <v>320</v>
      </c>
    </row>
    <row r="67" spans="1:39" s="2" customFormat="1" ht="21.75" hidden="1" customHeight="1" x14ac:dyDescent="0.15">
      <c r="A67" s="207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AJ67" s="209" t="s">
        <v>786</v>
      </c>
      <c r="AK67" s="214"/>
      <c r="AL67" s="213"/>
      <c r="AM67" s="212" t="s">
        <v>321</v>
      </c>
    </row>
    <row r="68" spans="1:39" s="3" customFormat="1" ht="21.75" hidden="1" customHeight="1" x14ac:dyDescent="0.15">
      <c r="A68" s="55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AJ68" s="209" t="s">
        <v>306</v>
      </c>
      <c r="AK68" s="214"/>
      <c r="AL68" s="213"/>
      <c r="AM68" s="212" t="s">
        <v>278</v>
      </c>
    </row>
    <row r="69" spans="1:39" s="3" customFormat="1" ht="21.75" hidden="1" customHeight="1" x14ac:dyDescent="0.15">
      <c r="A69" s="207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AJ69" s="209" t="s">
        <v>307</v>
      </c>
      <c r="AK69" s="214"/>
      <c r="AL69" s="215"/>
      <c r="AM69" s="212" t="s">
        <v>279</v>
      </c>
    </row>
    <row r="70" spans="1:39" ht="21.75" hidden="1" customHeight="1" x14ac:dyDescent="0.15">
      <c r="A70" s="55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AJ70" s="209" t="s">
        <v>308</v>
      </c>
      <c r="AK70" s="214"/>
      <c r="AL70" s="215"/>
      <c r="AM70" s="212" t="s">
        <v>280</v>
      </c>
    </row>
    <row r="71" spans="1:39" ht="21.75" hidden="1" customHeight="1" x14ac:dyDescent="0.15">
      <c r="A71" s="207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AJ71" s="209" t="s">
        <v>309</v>
      </c>
      <c r="AK71" s="214"/>
      <c r="AL71" s="215"/>
      <c r="AM71" s="212" t="s">
        <v>322</v>
      </c>
    </row>
    <row r="72" spans="1:39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107">
        <v>0.63</v>
      </c>
      <c r="P72" s="107">
        <v>0.27</v>
      </c>
      <c r="Q72" s="107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AJ72" s="209" t="s">
        <v>310</v>
      </c>
      <c r="AK72" s="215"/>
      <c r="AL72" s="215"/>
      <c r="AM72" s="215"/>
    </row>
    <row r="73" spans="1:39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AJ73" s="209" t="s">
        <v>277</v>
      </c>
      <c r="AK73" s="216"/>
      <c r="AL73" s="216"/>
      <c r="AM73" s="216"/>
    </row>
    <row r="74" spans="1:39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AJ74" s="209" t="s">
        <v>278</v>
      </c>
      <c r="AK74" s="215"/>
      <c r="AL74" s="215"/>
      <c r="AM74" s="215"/>
    </row>
    <row r="75" spans="1:39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AJ75" s="209" t="s">
        <v>279</v>
      </c>
      <c r="AK75" s="215"/>
      <c r="AL75" s="215"/>
      <c r="AM75" s="215"/>
    </row>
    <row r="76" spans="1:39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AJ76" s="209" t="s">
        <v>280</v>
      </c>
      <c r="AK76" s="215"/>
      <c r="AL76" s="215"/>
      <c r="AM76" s="215"/>
    </row>
    <row r="77" spans="1:39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AJ77" s="209" t="s">
        <v>281</v>
      </c>
      <c r="AK77" s="215"/>
      <c r="AL77" s="215"/>
      <c r="AM77" s="215"/>
    </row>
    <row r="78" spans="1:39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39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39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111">
        <f t="shared" ref="T146:AC146" si="8">SUM(T142:T145)</f>
        <v>0</v>
      </c>
      <c r="U146" s="111">
        <f t="shared" si="8"/>
        <v>0</v>
      </c>
      <c r="V146" s="111">
        <f t="shared" si="8"/>
        <v>0</v>
      </c>
      <c r="W146" s="111">
        <f t="shared" si="8"/>
        <v>0</v>
      </c>
      <c r="X146" s="111">
        <f t="shared" si="8"/>
        <v>0</v>
      </c>
      <c r="Y146" s="111">
        <f t="shared" si="8"/>
        <v>0</v>
      </c>
      <c r="Z146" s="111">
        <f t="shared" si="8"/>
        <v>0</v>
      </c>
      <c r="AA146" s="111">
        <f t="shared" si="8"/>
        <v>0</v>
      </c>
      <c r="AB146" s="111">
        <f t="shared" si="8"/>
        <v>0</v>
      </c>
      <c r="AC146" s="111">
        <f t="shared" si="8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111">
        <f t="shared" ref="T152:AC152" si="9">SUM(T148:T151)</f>
        <v>0</v>
      </c>
      <c r="U152" s="111">
        <f t="shared" si="9"/>
        <v>0</v>
      </c>
      <c r="V152" s="111">
        <f t="shared" si="9"/>
        <v>0</v>
      </c>
      <c r="W152" s="111">
        <f t="shared" si="9"/>
        <v>0</v>
      </c>
      <c r="X152" s="111">
        <f t="shared" si="9"/>
        <v>0</v>
      </c>
      <c r="Y152" s="111">
        <f t="shared" si="9"/>
        <v>0</v>
      </c>
      <c r="Z152" s="111">
        <f t="shared" si="9"/>
        <v>0</v>
      </c>
      <c r="AA152" s="111">
        <f t="shared" si="9"/>
        <v>0</v>
      </c>
      <c r="AB152" s="111">
        <f t="shared" si="9"/>
        <v>0</v>
      </c>
      <c r="AC152" s="111">
        <f t="shared" si="9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267</v>
      </c>
      <c r="AO157" t="s">
        <v>810</v>
      </c>
    </row>
    <row r="158" spans="20:41" ht="24" hidden="1" customHeight="1" x14ac:dyDescent="0.15">
      <c r="T158" s="111">
        <f t="shared" ref="T158:AC158" si="10">SUM(T154:T157)</f>
        <v>0</v>
      </c>
      <c r="U158" s="111">
        <f t="shared" si="10"/>
        <v>0</v>
      </c>
      <c r="V158" s="111">
        <f t="shared" si="10"/>
        <v>0</v>
      </c>
      <c r="W158" s="111">
        <f t="shared" si="10"/>
        <v>0</v>
      </c>
      <c r="X158" s="111">
        <f t="shared" si="10"/>
        <v>0</v>
      </c>
      <c r="Y158" s="111">
        <f t="shared" si="10"/>
        <v>0</v>
      </c>
      <c r="Z158" s="111">
        <f t="shared" si="10"/>
        <v>0</v>
      </c>
      <c r="AA158" s="111">
        <f t="shared" si="10"/>
        <v>0</v>
      </c>
      <c r="AB158" s="111">
        <f t="shared" si="10"/>
        <v>0</v>
      </c>
      <c r="AC158" s="111">
        <f t="shared" si="10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111">
        <f t="shared" ref="T164:AC164" si="11">SUM(T160:T163)</f>
        <v>0</v>
      </c>
      <c r="U164" s="111">
        <f t="shared" si="11"/>
        <v>0</v>
      </c>
      <c r="V164" s="111">
        <f t="shared" si="11"/>
        <v>0</v>
      </c>
      <c r="W164" s="111">
        <f t="shared" si="11"/>
        <v>0</v>
      </c>
      <c r="X164" s="111">
        <f t="shared" si="11"/>
        <v>0</v>
      </c>
      <c r="Y164" s="111">
        <f t="shared" si="11"/>
        <v>0</v>
      </c>
      <c r="Z164" s="111">
        <f t="shared" si="11"/>
        <v>0</v>
      </c>
      <c r="AA164" s="111">
        <f t="shared" si="11"/>
        <v>0</v>
      </c>
      <c r="AB164" s="111">
        <f t="shared" si="11"/>
        <v>0</v>
      </c>
      <c r="AC164" s="111">
        <f t="shared" si="11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73">
        <f>IF($K7="障子",T158,IF($K7="外付けブラインド",T164,T152))</f>
        <v>0</v>
      </c>
      <c r="U166" s="73">
        <f>IF($K8="障子",U158,IF($K8="外付けブラインド",U164,U152))</f>
        <v>0</v>
      </c>
      <c r="V166" s="73">
        <f>IF($K9="障子",V158,IF($K9="外付けブラインド",V164,V152))</f>
        <v>0</v>
      </c>
      <c r="W166" s="73">
        <f>IF($K10="障子",W158,IF($K10="外付けブラインド",W164,W152))</f>
        <v>0</v>
      </c>
      <c r="X166" s="73">
        <f>IF($K11="障子",X158,IF($K11="外付けブラインド",X164,X152))</f>
        <v>0</v>
      </c>
      <c r="Y166" s="73">
        <f>IF($K12="障子",Y158,IF($K12="外付けブラインド",Y164,Y152))</f>
        <v>0</v>
      </c>
      <c r="Z166" s="73">
        <f>IF($K13="障子",Z158,IF($K13="外付けブラインド",Z164,Z152))</f>
        <v>0</v>
      </c>
      <c r="AA166" s="73">
        <f>IF($K14="障子",AA158,IF($K14="外付けブラインド",AA164,AA152))</f>
        <v>0</v>
      </c>
      <c r="AB166" s="73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51" t="s">
        <v>846</v>
      </c>
      <c r="H172" t="s">
        <v>7</v>
      </c>
      <c r="J172" s="245" t="s">
        <v>847</v>
      </c>
      <c r="K172" s="51" t="s">
        <v>848</v>
      </c>
      <c r="L172" s="51" t="s">
        <v>849</v>
      </c>
      <c r="M172" s="51" t="s">
        <v>853</v>
      </c>
      <c r="N172" s="51" t="s">
        <v>850</v>
      </c>
      <c r="O172" s="51" t="s">
        <v>851</v>
      </c>
      <c r="P172" s="51" t="s">
        <v>852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J173" s="80" t="s">
        <v>787</v>
      </c>
      <c r="K173" s="115"/>
      <c r="M173" s="118"/>
      <c r="X173" s="116"/>
      <c r="Y173" s="58"/>
      <c r="Z173" s="75"/>
      <c r="AA173" s="75"/>
      <c r="AB173" s="75"/>
      <c r="AC173" s="75"/>
      <c r="AD173" s="75"/>
      <c r="AE173" s="75"/>
      <c r="AF173" s="75"/>
      <c r="AG173" s="75"/>
      <c r="AH173" s="75"/>
    </row>
    <row r="174" spans="2:41" ht="24" hidden="1" customHeight="1" x14ac:dyDescent="0.15">
      <c r="B174" s="80" t="s">
        <v>788</v>
      </c>
      <c r="C174" s="115">
        <v>2.33</v>
      </c>
      <c r="G174" t="s">
        <v>330</v>
      </c>
      <c r="H174" s="111" t="e">
        <f>VLOOKUP(O23,$B$173:$C$187,2,0)</f>
        <v>#N/A</v>
      </c>
      <c r="J174" s="80" t="s">
        <v>788</v>
      </c>
      <c r="K174" s="115"/>
      <c r="M174" s="118"/>
      <c r="X174" s="116"/>
      <c r="Y174" s="58"/>
      <c r="Z174" s="75"/>
      <c r="AA174" s="75"/>
      <c r="AB174" s="75"/>
      <c r="AC174" s="75"/>
      <c r="AD174" s="75"/>
      <c r="AE174" s="75"/>
      <c r="AF174" s="75"/>
      <c r="AG174" s="75"/>
      <c r="AH174" s="75"/>
    </row>
    <row r="175" spans="2:41" ht="24" hidden="1" customHeight="1" x14ac:dyDescent="0.15">
      <c r="B175" s="80" t="s">
        <v>794</v>
      </c>
      <c r="C175" s="115">
        <v>2.91</v>
      </c>
      <c r="J175" s="80" t="s">
        <v>794</v>
      </c>
      <c r="K175" s="115"/>
      <c r="X175" s="116"/>
      <c r="Y175" s="58"/>
      <c r="Z175" s="75"/>
      <c r="AA175" s="75"/>
      <c r="AB175" s="75"/>
      <c r="AC175" s="75"/>
      <c r="AD175" s="75"/>
      <c r="AE175" s="75"/>
      <c r="AF175" s="75"/>
      <c r="AG175" s="75"/>
      <c r="AH175" s="75"/>
    </row>
    <row r="176" spans="2:41" ht="24" hidden="1" customHeight="1" x14ac:dyDescent="0.15">
      <c r="B176" s="80" t="s">
        <v>789</v>
      </c>
      <c r="C176" s="115">
        <v>2.91</v>
      </c>
      <c r="J176" s="80" t="s">
        <v>789</v>
      </c>
      <c r="K176" s="115"/>
      <c r="X176" s="116"/>
      <c r="Y176" s="58"/>
      <c r="Z176" s="75"/>
      <c r="AA176" s="75"/>
      <c r="AB176" s="75"/>
      <c r="AC176" s="75"/>
      <c r="AD176" s="75"/>
      <c r="AE176" s="75"/>
      <c r="AF176" s="75"/>
      <c r="AG176" s="75"/>
      <c r="AH176" s="75"/>
    </row>
    <row r="177" spans="2:34" ht="24" hidden="1" customHeight="1" x14ac:dyDescent="0.15">
      <c r="B177" s="80" t="s">
        <v>791</v>
      </c>
      <c r="C177" s="115">
        <v>2.33</v>
      </c>
      <c r="J177" s="80" t="s">
        <v>791</v>
      </c>
      <c r="K177" s="115"/>
      <c r="X177" s="78"/>
      <c r="Y177" s="58"/>
      <c r="Z177" s="75"/>
      <c r="AA177" s="75"/>
      <c r="AB177" s="75"/>
      <c r="AC177" s="75"/>
      <c r="AD177" s="75"/>
      <c r="AE177" s="75"/>
      <c r="AF177" s="75"/>
      <c r="AG177" s="75"/>
      <c r="AH177" s="75"/>
    </row>
    <row r="178" spans="2:34" ht="24" hidden="1" customHeight="1" x14ac:dyDescent="0.15">
      <c r="B178" s="80" t="s">
        <v>795</v>
      </c>
      <c r="C178" s="115">
        <v>1.75</v>
      </c>
      <c r="J178" s="80" t="s">
        <v>795</v>
      </c>
      <c r="K178" s="115"/>
      <c r="X178" s="78"/>
      <c r="Y178" s="58"/>
      <c r="Z178" s="75"/>
      <c r="AA178" s="75"/>
      <c r="AB178" s="75"/>
      <c r="AC178" s="75"/>
      <c r="AD178" s="75"/>
      <c r="AE178" s="75"/>
      <c r="AF178" s="75"/>
      <c r="AG178" s="75"/>
      <c r="AH178" s="75"/>
    </row>
    <row r="179" spans="2:34" ht="24" hidden="1" customHeight="1" x14ac:dyDescent="0.15">
      <c r="B179" s="80" t="s">
        <v>796</v>
      </c>
      <c r="C179" s="115">
        <v>2.33</v>
      </c>
      <c r="J179" s="80" t="s">
        <v>796</v>
      </c>
      <c r="K179" s="115"/>
      <c r="X179" s="78"/>
      <c r="Y179" s="58"/>
      <c r="Z179" s="75"/>
      <c r="AA179" s="75"/>
      <c r="AB179" s="75"/>
      <c r="AC179" s="75"/>
      <c r="AD179" s="75"/>
      <c r="AE179" s="75"/>
      <c r="AF179" s="75"/>
      <c r="AG179" s="75"/>
      <c r="AH179" s="75"/>
    </row>
    <row r="180" spans="2:34" ht="24" hidden="1" customHeight="1" x14ac:dyDescent="0.15">
      <c r="B180" s="80" t="s">
        <v>797</v>
      </c>
      <c r="C180" s="115">
        <v>2.91</v>
      </c>
      <c r="J180" s="80" t="s">
        <v>797</v>
      </c>
      <c r="K180" s="115"/>
      <c r="X180" s="78"/>
      <c r="Y180" s="58"/>
      <c r="Z180" s="75"/>
      <c r="AA180" s="75"/>
      <c r="AB180" s="75"/>
      <c r="AC180" s="75"/>
      <c r="AD180" s="75"/>
      <c r="AE180" s="75"/>
      <c r="AF180" s="75"/>
      <c r="AG180" s="75"/>
      <c r="AH180" s="75"/>
    </row>
    <row r="181" spans="2:34" ht="24" hidden="1" customHeight="1" x14ac:dyDescent="0.15">
      <c r="B181" s="80" t="s">
        <v>798</v>
      </c>
      <c r="C181" s="115">
        <v>2.91</v>
      </c>
      <c r="J181" s="80" t="s">
        <v>798</v>
      </c>
      <c r="K181" s="115"/>
      <c r="X181" s="78"/>
      <c r="Y181" s="76"/>
      <c r="Z181" s="75"/>
      <c r="AA181" s="75"/>
      <c r="AB181" s="75"/>
      <c r="AC181" s="75"/>
      <c r="AD181" s="75"/>
      <c r="AE181" s="75"/>
      <c r="AF181" s="75"/>
      <c r="AG181" s="75"/>
      <c r="AH181" s="75"/>
    </row>
    <row r="182" spans="2:34" ht="24" hidden="1" customHeight="1" x14ac:dyDescent="0.15">
      <c r="B182" s="80" t="s">
        <v>799</v>
      </c>
      <c r="C182" s="115">
        <v>2.33</v>
      </c>
      <c r="J182" s="80" t="s">
        <v>799</v>
      </c>
      <c r="K182" s="115"/>
      <c r="X182" s="78"/>
      <c r="Y182" s="58"/>
      <c r="Z182" s="75"/>
      <c r="AA182" s="75"/>
      <c r="AB182" s="75"/>
      <c r="AC182" s="75"/>
      <c r="AD182" s="75"/>
      <c r="AE182" s="75"/>
      <c r="AF182" s="75"/>
      <c r="AG182" s="75"/>
      <c r="AH182" s="75"/>
    </row>
    <row r="183" spans="2:34" ht="24" hidden="1" customHeight="1" x14ac:dyDescent="0.15">
      <c r="B183" s="80" t="s">
        <v>801</v>
      </c>
      <c r="C183" s="115">
        <v>3.49</v>
      </c>
      <c r="J183" s="80" t="s">
        <v>801</v>
      </c>
      <c r="K183" s="115"/>
      <c r="X183" s="78"/>
      <c r="Y183" s="58"/>
      <c r="Z183" s="75"/>
      <c r="AA183" s="75"/>
      <c r="AB183" s="75"/>
      <c r="AC183" s="75"/>
      <c r="AD183" s="75"/>
      <c r="AE183" s="75"/>
      <c r="AF183" s="75"/>
      <c r="AG183" s="75"/>
      <c r="AH183" s="75"/>
    </row>
    <row r="184" spans="2:34" ht="24" hidden="1" customHeight="1" x14ac:dyDescent="0.15">
      <c r="B184" s="80" t="s">
        <v>803</v>
      </c>
      <c r="C184" s="115">
        <v>3.49</v>
      </c>
      <c r="J184" s="80" t="s">
        <v>803</v>
      </c>
      <c r="K184" s="115"/>
    </row>
    <row r="185" spans="2:34" ht="24" hidden="1" customHeight="1" x14ac:dyDescent="0.15">
      <c r="B185" s="80" t="s">
        <v>805</v>
      </c>
      <c r="C185" s="115">
        <v>4.6500000000000004</v>
      </c>
      <c r="J185" s="80" t="s">
        <v>805</v>
      </c>
      <c r="K185" s="115"/>
    </row>
    <row r="186" spans="2:34" ht="24" hidden="1" customHeight="1" x14ac:dyDescent="0.15">
      <c r="B186" s="80" t="s">
        <v>806</v>
      </c>
      <c r="C186" s="115">
        <v>4.07</v>
      </c>
      <c r="J186" s="80" t="s">
        <v>806</v>
      </c>
      <c r="K186" s="115"/>
    </row>
    <row r="187" spans="2:34" ht="24" hidden="1" customHeight="1" x14ac:dyDescent="0.15">
      <c r="B187" s="80" t="s">
        <v>808</v>
      </c>
      <c r="C187" s="115">
        <v>4.6500000000000004</v>
      </c>
      <c r="J187" s="80" t="s">
        <v>808</v>
      </c>
      <c r="K187" s="115"/>
    </row>
  </sheetData>
  <sheetProtection algorithmName="SHA-512" hashValue="GY5vzRvnNe1Qqu9/UW5z/Bg/cW47bU59FNc3/nax71AunqwD1WhDNADyCpd53O7hFCTRXL8+cT4T5+vyroI4LA==" saltValue="vGxsEjOVjjiQioiSt51pIg==" spinCount="100000" sheet="1" objects="1" scenarios="1" selectLockedCells="1"/>
  <mergeCells count="242"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</mergeCells>
  <phoneticPr fontId="2"/>
  <conditionalFormatting sqref="U17:V17">
    <cfRule type="expression" dxfId="137" priority="18" stopIfTrue="1">
      <formula>$U$17=0</formula>
    </cfRule>
  </conditionalFormatting>
  <conditionalFormatting sqref="W17:X17">
    <cfRule type="expression" dxfId="136" priority="17" stopIfTrue="1">
      <formula>$W$17=0</formula>
    </cfRule>
  </conditionalFormatting>
  <conditionalFormatting sqref="Y17:Z17">
    <cfRule type="expression" dxfId="135" priority="16" stopIfTrue="1">
      <formula>$Y$17=0</formula>
    </cfRule>
  </conditionalFormatting>
  <conditionalFormatting sqref="U24:Z24">
    <cfRule type="expression" dxfId="134" priority="15" stopIfTrue="1">
      <formula>$U$24:$Z$24=0</formula>
    </cfRule>
  </conditionalFormatting>
  <conditionalFormatting sqref="U32:V32">
    <cfRule type="expression" dxfId="133" priority="14" stopIfTrue="1">
      <formula>$U$32:$V$32=0</formula>
    </cfRule>
  </conditionalFormatting>
  <conditionalFormatting sqref="X35:Y35">
    <cfRule type="expression" dxfId="132" priority="13" stopIfTrue="1">
      <formula>$X$35=0</formula>
    </cfRule>
  </conditionalFormatting>
  <conditionalFormatting sqref="P35:Q35">
    <cfRule type="expression" dxfId="131" priority="12" stopIfTrue="1">
      <formula>$P$35=0</formula>
    </cfRule>
  </conditionalFormatting>
  <conditionalFormatting sqref="T35:U35">
    <cfRule type="expression" dxfId="130" priority="11" stopIfTrue="1">
      <formula>$T$35=0</formula>
    </cfRule>
  </conditionalFormatting>
  <conditionalFormatting sqref="K35:M35">
    <cfRule type="expression" dxfId="129" priority="10" stopIfTrue="1">
      <formula>$K$35=0</formula>
    </cfRule>
  </conditionalFormatting>
  <conditionalFormatting sqref="W7:X7">
    <cfRule type="expression" dxfId="128" priority="8" stopIfTrue="1">
      <formula>#VALUE!</formula>
    </cfRule>
    <cfRule type="expression" dxfId="127" priority="9" stopIfTrue="1">
      <formula>#VALUE!</formula>
    </cfRule>
  </conditionalFormatting>
  <conditionalFormatting sqref="W16:X16">
    <cfRule type="expression" dxfId="126" priority="7" stopIfTrue="1">
      <formula>#VALUE!</formula>
    </cfRule>
  </conditionalFormatting>
  <conditionalFormatting sqref="O7:T16">
    <cfRule type="expression" dxfId="125" priority="6" stopIfTrue="1">
      <formula>$AF7=TRUE</formula>
    </cfRule>
  </conditionalFormatting>
  <conditionalFormatting sqref="W7:X7">
    <cfRule type="expression" dxfId="124" priority="4" stopIfTrue="1">
      <formula>#VALUE!</formula>
    </cfRule>
    <cfRule type="expression" dxfId="123" priority="5" stopIfTrue="1">
      <formula>#VALUE!</formula>
    </cfRule>
  </conditionalFormatting>
  <conditionalFormatting sqref="W16:X16">
    <cfRule type="expression" dxfId="122" priority="3" stopIfTrue="1">
      <formula>#VALUE!</formula>
    </cfRule>
  </conditionalFormatting>
  <conditionalFormatting sqref="W32:X32">
    <cfRule type="expression" dxfId="121" priority="2" stopIfTrue="1">
      <formula>$W$32:$X$32=0</formula>
    </cfRule>
  </conditionalFormatting>
  <conditionalFormatting sqref="Y32:Z32">
    <cfRule type="expression" dxfId="120" priority="1" stopIfTrue="1">
      <formula>$Y$32:$Z$32=0</formula>
    </cfRule>
  </conditionalFormatting>
  <dataValidations count="6">
    <dataValidation type="list" allowBlank="1" showInputMessage="1" showErrorMessage="1" sqref="S22:T23" xr:uid="{00000000-0002-0000-0500-000000000000}">
      <formula1>"あり,なし"</formula1>
    </dataValidation>
    <dataValidation type="list" allowBlank="1" showInputMessage="1" showErrorMessage="1" sqref="K7:L16" xr:uid="{00000000-0002-0000-0500-000001000000}">
      <formula1>"　,雨戸,ｼｬｯﾀｰ,障子,風除室,外付けブラインド"</formula1>
    </dataValidation>
    <dataValidation type="list" allowBlank="1" showInputMessage="1" showErrorMessage="1" sqref="I29:I31" xr:uid="{00000000-0002-0000-0500-000002000000}">
      <formula1>"W-1,W-2,W-3"</formula1>
    </dataValidation>
    <dataValidation type="list" allowBlank="1" showInputMessage="1" showErrorMessage="1" sqref="I7:J16" xr:uid="{00000000-0002-0000-0500-000003000000}">
      <formula1>INDIRECT(G7)</formula1>
    </dataValidation>
    <dataValidation type="list" allowBlank="1" showInputMessage="1" showErrorMessage="1" sqref="G7:H16" xr:uid="{00000000-0002-0000-0500-000004000000}">
      <formula1>建具の仕様_北東</formula1>
    </dataValidation>
    <dataValidation type="list" allowBlank="1" showInputMessage="1" showErrorMessage="1" sqref="O22:R23" xr:uid="{00000000-0002-0000-0500-000005000000}">
      <formula1>建具の構成_北東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3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4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5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6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7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8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9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0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1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2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30" r:id="rId14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31" r:id="rId15" name="Check Box 39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32" r:id="rId16" name="Check Box 40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 x14ac:dyDescent="0.15">
      <c r="A1" s="492" t="s">
        <v>339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532" t="b">
        <f>IF(共通条件・結果!Z6="８地域","0.515",IF(共通条件・結果!Z6="７地域",0.509,IF(共通条件・結果!Z6="６地域",0.512,IF(共通条件・結果!Z6="５地域",0.5,IF(共通条件・結果!Z6="４地域",0.518,IF(共通条件・結果!Z6="３地域",0.468,IF(共通条件・結果!Z6="２地域",0.503,IF(共通条件・結果!Z6="１地域",0.545))))))))</f>
        <v>0</v>
      </c>
      <c r="V3" s="533"/>
      <c r="W3" s="532" t="b">
        <f>IF(共通条件・結果!Z6="８地域","-",IF(共通条件・結果!Z6="７地域",0.543,IF(共通条件・結果!Z6="６地域",0.579,IF(共通条件・結果!Z6="５地域",0.568,IF(共通条件・結果!Z6="４地域",0.531,IF(共通条件・結果!Z6="３地域",0.54,IF(共通条件・結果!Z6="２地域",0.554,IF(共通条件・結果!Z6="１地域",0.564))))))))</f>
        <v>0</v>
      </c>
      <c r="X3" s="533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491"/>
      <c r="C7" s="475"/>
      <c r="D7" s="476"/>
      <c r="E7" s="476"/>
      <c r="F7" s="477"/>
      <c r="G7" s="429"/>
      <c r="H7" s="430"/>
      <c r="I7" s="431"/>
      <c r="J7" s="432"/>
      <c r="K7" s="473"/>
      <c r="L7" s="47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 t="shared" ref="Y7:Y16" si="1"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0.01*(16+24*(2*Q7+S7)/O7)</f>
        <v>#DIV/0!</v>
      </c>
      <c r="AK7" s="2" t="e">
        <f>0.01*(10+15*(2*Q7+S7)/O7)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460"/>
      <c r="C8" s="485"/>
      <c r="D8" s="442"/>
      <c r="E8" s="442"/>
      <c r="F8" s="443"/>
      <c r="G8" s="486"/>
      <c r="H8" s="487"/>
      <c r="I8" s="486"/>
      <c r="J8" s="487"/>
      <c r="K8" s="446"/>
      <c r="L8" s="446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3">IF(C8="","",IF(ISERROR(AD8),#VALUE!,AD8))</f>
        <v/>
      </c>
      <c r="X8" s="354"/>
      <c r="Y8" s="354" t="str">
        <f t="shared" si="1"/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 t="shared" ref="AJ8:AJ16" si="6">0.01*(16+24*(2*Q8+S8)/O8)</f>
        <v>#DIV/0!</v>
      </c>
      <c r="AK8" s="2" t="e">
        <f t="shared" ref="AK8:AK16" si="7">0.01*(10+15*(2*Q8+S8)/O8)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0"/>
      <c r="BA8" s="80"/>
    </row>
    <row r="9" spans="1:53" s="2" customFormat="1" ht="34.5" customHeight="1" x14ac:dyDescent="0.15">
      <c r="A9" s="459"/>
      <c r="B9" s="460"/>
      <c r="C9" s="485"/>
      <c r="D9" s="442"/>
      <c r="E9" s="442"/>
      <c r="F9" s="443"/>
      <c r="G9" s="486"/>
      <c r="H9" s="487"/>
      <c r="I9" s="486"/>
      <c r="J9" s="487"/>
      <c r="K9" s="446"/>
      <c r="L9" s="446"/>
      <c r="M9" s="488"/>
      <c r="N9" s="489"/>
      <c r="O9" s="425"/>
      <c r="P9" s="426"/>
      <c r="Q9" s="427"/>
      <c r="R9" s="428"/>
      <c r="S9" s="425"/>
      <c r="T9" s="426"/>
      <c r="U9" s="354" t="str">
        <f t="shared" si="0"/>
        <v/>
      </c>
      <c r="V9" s="354"/>
      <c r="W9" s="354" t="str">
        <f t="shared" si="3"/>
        <v/>
      </c>
      <c r="X9" s="354"/>
      <c r="Y9" s="354" t="str">
        <f t="shared" si="1"/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 t="shared" si="6"/>
        <v>#DIV/0!</v>
      </c>
      <c r="AK9" s="2" t="e">
        <f t="shared" si="7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0"/>
      <c r="BA9" s="80"/>
    </row>
    <row r="10" spans="1:53" s="2" customFormat="1" ht="34.5" customHeight="1" x14ac:dyDescent="0.15">
      <c r="A10" s="459"/>
      <c r="B10" s="460"/>
      <c r="C10" s="485"/>
      <c r="D10" s="442"/>
      <c r="E10" s="442"/>
      <c r="F10" s="443"/>
      <c r="G10" s="486"/>
      <c r="H10" s="487"/>
      <c r="I10" s="486"/>
      <c r="J10" s="487"/>
      <c r="K10" s="446"/>
      <c r="L10" s="446"/>
      <c r="M10" s="488"/>
      <c r="N10" s="489"/>
      <c r="O10" s="425"/>
      <c r="P10" s="426"/>
      <c r="Q10" s="427"/>
      <c r="R10" s="428"/>
      <c r="S10" s="425"/>
      <c r="T10" s="426"/>
      <c r="U10" s="354" t="str">
        <f t="shared" si="0"/>
        <v/>
      </c>
      <c r="V10" s="354"/>
      <c r="W10" s="354" t="str">
        <f t="shared" si="3"/>
        <v/>
      </c>
      <c r="X10" s="354"/>
      <c r="Y10" s="354" t="str">
        <f t="shared" si="1"/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 t="shared" si="6"/>
        <v>#DIV/0!</v>
      </c>
      <c r="AK10" s="2" t="e">
        <f t="shared" si="7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0"/>
      <c r="BA10" s="80"/>
    </row>
    <row r="11" spans="1:53" s="2" customFormat="1" ht="34.5" customHeight="1" x14ac:dyDescent="0.15">
      <c r="A11" s="459"/>
      <c r="B11" s="460"/>
      <c r="C11" s="485"/>
      <c r="D11" s="442"/>
      <c r="E11" s="442"/>
      <c r="F11" s="443"/>
      <c r="G11" s="486"/>
      <c r="H11" s="487"/>
      <c r="I11" s="486"/>
      <c r="J11" s="487"/>
      <c r="K11" s="446"/>
      <c r="L11" s="446"/>
      <c r="M11" s="488"/>
      <c r="N11" s="489"/>
      <c r="O11" s="425"/>
      <c r="P11" s="426"/>
      <c r="Q11" s="427"/>
      <c r="R11" s="428"/>
      <c r="S11" s="425"/>
      <c r="T11" s="426"/>
      <c r="U11" s="354" t="str">
        <f t="shared" si="0"/>
        <v/>
      </c>
      <c r="V11" s="354"/>
      <c r="W11" s="354" t="str">
        <f t="shared" si="3"/>
        <v/>
      </c>
      <c r="X11" s="354"/>
      <c r="Y11" s="354" t="str">
        <f t="shared" si="1"/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 t="shared" si="6"/>
        <v>#DIV/0!</v>
      </c>
      <c r="AK11" s="2" t="e">
        <f t="shared" si="7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0"/>
      <c r="BA11" s="80"/>
    </row>
    <row r="12" spans="1:53" s="2" customFormat="1" ht="34.5" customHeight="1" x14ac:dyDescent="0.15">
      <c r="A12" s="459"/>
      <c r="B12" s="460"/>
      <c r="C12" s="485"/>
      <c r="D12" s="442"/>
      <c r="E12" s="442"/>
      <c r="F12" s="443"/>
      <c r="G12" s="486"/>
      <c r="H12" s="487"/>
      <c r="I12" s="486"/>
      <c r="J12" s="487"/>
      <c r="K12" s="446"/>
      <c r="L12" s="446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3"/>
        <v/>
      </c>
      <c r="X12" s="354"/>
      <c r="Y12" s="354" t="str">
        <f t="shared" si="1"/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 t="shared" si="6"/>
        <v>#DIV/0!</v>
      </c>
      <c r="AK12" s="2" t="e">
        <f t="shared" si="7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0"/>
      <c r="BA12" s="80"/>
    </row>
    <row r="13" spans="1:53" s="2" customFormat="1" ht="34.5" customHeight="1" x14ac:dyDescent="0.15">
      <c r="A13" s="459"/>
      <c r="B13" s="460"/>
      <c r="C13" s="485"/>
      <c r="D13" s="442"/>
      <c r="E13" s="442"/>
      <c r="F13" s="443"/>
      <c r="G13" s="486"/>
      <c r="H13" s="487"/>
      <c r="I13" s="486"/>
      <c r="J13" s="487"/>
      <c r="K13" s="446"/>
      <c r="L13" s="446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3"/>
        <v/>
      </c>
      <c r="X13" s="354"/>
      <c r="Y13" s="354" t="str">
        <f t="shared" si="1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 t="shared" si="6"/>
        <v>#DIV/0!</v>
      </c>
      <c r="AK13" s="2" t="e">
        <f t="shared" si="7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0"/>
      <c r="BA13" s="80"/>
    </row>
    <row r="14" spans="1:53" s="2" customFormat="1" ht="34.5" customHeight="1" x14ac:dyDescent="0.15">
      <c r="A14" s="459"/>
      <c r="B14" s="460"/>
      <c r="C14" s="485"/>
      <c r="D14" s="442"/>
      <c r="E14" s="442"/>
      <c r="F14" s="443"/>
      <c r="G14" s="486"/>
      <c r="H14" s="487"/>
      <c r="I14" s="486"/>
      <c r="J14" s="487"/>
      <c r="K14" s="446"/>
      <c r="L14" s="446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3"/>
        <v/>
      </c>
      <c r="X14" s="354"/>
      <c r="Y14" s="354" t="str">
        <f t="shared" si="1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 t="shared" si="6"/>
        <v>#DIV/0!</v>
      </c>
      <c r="AK14" s="2" t="e">
        <f t="shared" si="7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0"/>
      <c r="BA14" s="80"/>
    </row>
    <row r="15" spans="1:53" s="2" customFormat="1" ht="34.5" customHeight="1" x14ac:dyDescent="0.15">
      <c r="A15" s="459"/>
      <c r="B15" s="460"/>
      <c r="C15" s="485"/>
      <c r="D15" s="442"/>
      <c r="E15" s="442"/>
      <c r="F15" s="443"/>
      <c r="G15" s="486"/>
      <c r="H15" s="487"/>
      <c r="I15" s="486"/>
      <c r="J15" s="487"/>
      <c r="K15" s="446"/>
      <c r="L15" s="446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3"/>
        <v/>
      </c>
      <c r="X15" s="354"/>
      <c r="Y15" s="354" t="str">
        <f t="shared" si="1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 t="shared" si="6"/>
        <v>#DIV/0!</v>
      </c>
      <c r="AK15" s="2" t="e">
        <f t="shared" si="7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0"/>
      <c r="BA15" s="80"/>
    </row>
    <row r="16" spans="1:53" s="2" customFormat="1" ht="34.5" customHeight="1" thickBot="1" x14ac:dyDescent="0.2">
      <c r="A16" s="468"/>
      <c r="B16" s="469"/>
      <c r="C16" s="392"/>
      <c r="D16" s="374"/>
      <c r="E16" s="374"/>
      <c r="F16" s="375"/>
      <c r="G16" s="471"/>
      <c r="H16" s="472"/>
      <c r="I16" s="471"/>
      <c r="J16" s="472"/>
      <c r="K16" s="473"/>
      <c r="L16" s="473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3"/>
        <v/>
      </c>
      <c r="X16" s="354"/>
      <c r="Y16" s="360" t="str">
        <f t="shared" si="1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 t="shared" si="6"/>
        <v>#DIV/0!</v>
      </c>
      <c r="AK16" s="2" t="e">
        <f t="shared" si="7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0"/>
      <c r="BA16" s="80"/>
    </row>
    <row r="17" spans="1:53" s="2" customFormat="1" ht="21.95" customHeight="1" thickBot="1" x14ac:dyDescent="0.2">
      <c r="A17" s="453" t="s">
        <v>350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351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352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43" s="2" customFormat="1" ht="10.5" customHeight="1" x14ac:dyDescent="0.15"/>
    <row r="34" spans="1:43" s="2" customFormat="1" ht="21.95" customHeight="1" thickBot="1" x14ac:dyDescent="0.2">
      <c r="A34" s="4" t="s">
        <v>353</v>
      </c>
    </row>
    <row r="35" spans="1:43" s="2" customFormat="1" ht="21.95" customHeight="1" x14ac:dyDescent="0.15">
      <c r="A35" s="461" t="s">
        <v>332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43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43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43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43" s="2" customFormat="1" ht="21.95" customHeight="1" x14ac:dyDescent="0.15"/>
    <row r="40" spans="1:43" s="2" customFormat="1" ht="21.95" customHeight="1" x14ac:dyDescent="0.15"/>
    <row r="41" spans="1:43" s="2" customFormat="1" ht="21.95" customHeight="1" x14ac:dyDescent="0.15"/>
    <row r="42" spans="1:43" s="2" customFormat="1" ht="21.95" hidden="1" customHeight="1" x14ac:dyDescent="0.15">
      <c r="B42" s="114" t="s">
        <v>266</v>
      </c>
    </row>
    <row r="43" spans="1:43" s="2" customFormat="1" ht="21.95" hidden="1" customHeight="1" x14ac:dyDescent="0.15">
      <c r="AC43" s="54"/>
      <c r="AD43" s="54"/>
    </row>
    <row r="44" spans="1:43" s="2" customFormat="1" ht="21.75" hidden="1" customHeight="1" x14ac:dyDescent="0.15">
      <c r="B44" s="51" t="s">
        <v>109</v>
      </c>
      <c r="O44" s="351" t="s">
        <v>186</v>
      </c>
      <c r="P44" s="351"/>
      <c r="Q44" s="351"/>
      <c r="AC44" s="54"/>
      <c r="AD44" s="54"/>
    </row>
    <row r="45" spans="1:43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  <c r="AJ45" s="51" t="s">
        <v>838</v>
      </c>
      <c r="AN45" s="51" t="s">
        <v>839</v>
      </c>
    </row>
    <row r="46" spans="1:43" s="2" customFormat="1" ht="21.75" hidden="1" customHeight="1" x14ac:dyDescent="0.15">
      <c r="A46" s="30"/>
      <c r="B46" s="223" t="s">
        <v>833</v>
      </c>
      <c r="C46" s="224" t="s">
        <v>156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  <c r="AN46" s="208" t="s">
        <v>833</v>
      </c>
      <c r="AO46" s="208" t="s">
        <v>834</v>
      </c>
      <c r="AP46" s="208" t="s">
        <v>835</v>
      </c>
      <c r="AQ46" s="208" t="s">
        <v>836</v>
      </c>
    </row>
    <row r="47" spans="1:43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AN47" s="209" t="s">
        <v>282</v>
      </c>
      <c r="AO47" s="210" t="s">
        <v>297</v>
      </c>
      <c r="AP47" s="211" t="s">
        <v>290</v>
      </c>
      <c r="AQ47" s="212" t="s">
        <v>290</v>
      </c>
    </row>
    <row r="48" spans="1:43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AN48" s="209" t="s">
        <v>283</v>
      </c>
      <c r="AO48" s="210" t="s">
        <v>298</v>
      </c>
      <c r="AP48" s="211" t="s">
        <v>291</v>
      </c>
      <c r="AQ48" s="212" t="s">
        <v>291</v>
      </c>
    </row>
    <row r="49" spans="1:43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AN49" s="209" t="s">
        <v>284</v>
      </c>
      <c r="AO49" s="210" t="s">
        <v>290</v>
      </c>
      <c r="AP49" s="211" t="s">
        <v>299</v>
      </c>
      <c r="AQ49" s="212" t="s">
        <v>299</v>
      </c>
    </row>
    <row r="50" spans="1:43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AN50" s="209" t="s">
        <v>285</v>
      </c>
      <c r="AO50" s="210" t="s">
        <v>291</v>
      </c>
      <c r="AP50" s="211" t="s">
        <v>300</v>
      </c>
      <c r="AQ50" s="212" t="s">
        <v>300</v>
      </c>
    </row>
    <row r="51" spans="1:43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AN51" s="209" t="s">
        <v>286</v>
      </c>
      <c r="AO51" s="210" t="s">
        <v>311</v>
      </c>
      <c r="AP51" s="211" t="s">
        <v>313</v>
      </c>
      <c r="AQ51" s="212" t="s">
        <v>304</v>
      </c>
    </row>
    <row r="52" spans="1:43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AN52" s="209" t="s">
        <v>287</v>
      </c>
      <c r="AO52" s="210" t="s">
        <v>312</v>
      </c>
      <c r="AP52" s="211" t="s">
        <v>314</v>
      </c>
      <c r="AQ52" s="212" t="s">
        <v>305</v>
      </c>
    </row>
    <row r="53" spans="1:43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AN53" s="209" t="s">
        <v>288</v>
      </c>
      <c r="AO53" s="210" t="s">
        <v>304</v>
      </c>
      <c r="AP53" s="211" t="s">
        <v>785</v>
      </c>
      <c r="AQ53" s="212" t="s">
        <v>785</v>
      </c>
    </row>
    <row r="54" spans="1:43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AN54" s="209" t="s">
        <v>289</v>
      </c>
      <c r="AO54" s="210" t="s">
        <v>305</v>
      </c>
      <c r="AP54" s="211" t="s">
        <v>786</v>
      </c>
      <c r="AQ54" s="212" t="s">
        <v>786</v>
      </c>
    </row>
    <row r="55" spans="1:43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AN55" s="209" t="s">
        <v>290</v>
      </c>
      <c r="AO55" s="210" t="s">
        <v>785</v>
      </c>
      <c r="AP55" s="211" t="s">
        <v>292</v>
      </c>
      <c r="AQ55" s="212" t="s">
        <v>292</v>
      </c>
    </row>
    <row r="56" spans="1:43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AN56" s="209" t="s">
        <v>291</v>
      </c>
      <c r="AO56" s="210" t="s">
        <v>786</v>
      </c>
      <c r="AP56" s="211" t="s">
        <v>293</v>
      </c>
      <c r="AQ56" s="212" t="s">
        <v>293</v>
      </c>
    </row>
    <row r="57" spans="1:43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AN57" s="209" t="s">
        <v>302</v>
      </c>
      <c r="AO57" s="210" t="s">
        <v>292</v>
      </c>
      <c r="AP57" s="211" t="s">
        <v>294</v>
      </c>
      <c r="AQ57" s="212" t="s">
        <v>294</v>
      </c>
    </row>
    <row r="58" spans="1:43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AN58" s="209" t="s">
        <v>303</v>
      </c>
      <c r="AO58" s="210" t="s">
        <v>293</v>
      </c>
      <c r="AP58" s="211" t="s">
        <v>295</v>
      </c>
      <c r="AQ58" s="212" t="s">
        <v>295</v>
      </c>
    </row>
    <row r="59" spans="1:43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AN59" s="209" t="s">
        <v>292</v>
      </c>
      <c r="AO59" s="210" t="s">
        <v>294</v>
      </c>
      <c r="AP59" s="211" t="s">
        <v>296</v>
      </c>
      <c r="AQ59" s="212" t="s">
        <v>296</v>
      </c>
    </row>
    <row r="60" spans="1:43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AN60" s="209" t="s">
        <v>293</v>
      </c>
      <c r="AO60" s="210" t="s">
        <v>295</v>
      </c>
      <c r="AP60" s="211" t="s">
        <v>306</v>
      </c>
      <c r="AQ60" s="212" t="s">
        <v>315</v>
      </c>
    </row>
    <row r="61" spans="1:43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AN61" s="209" t="s">
        <v>294</v>
      </c>
      <c r="AO61" s="210" t="s">
        <v>296</v>
      </c>
      <c r="AP61" s="211" t="s">
        <v>307</v>
      </c>
      <c r="AQ61" s="212" t="s">
        <v>316</v>
      </c>
    </row>
    <row r="62" spans="1:43" s="2" customFormat="1" ht="21.75" hidden="1" customHeight="1" x14ac:dyDescent="0.15">
      <c r="A62" s="30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AN62" s="209" t="s">
        <v>295</v>
      </c>
      <c r="AO62" s="210" t="s">
        <v>306</v>
      </c>
      <c r="AP62" s="211" t="s">
        <v>308</v>
      </c>
      <c r="AQ62" s="212" t="s">
        <v>317</v>
      </c>
    </row>
    <row r="63" spans="1:43" s="2" customFormat="1" ht="21.75" hidden="1" customHeight="1" x14ac:dyDescent="0.15">
      <c r="A63" s="56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AN63" s="209" t="s">
        <v>296</v>
      </c>
      <c r="AO63" s="210" t="s">
        <v>307</v>
      </c>
      <c r="AP63" s="211" t="s">
        <v>309</v>
      </c>
      <c r="AQ63" s="212" t="s">
        <v>318</v>
      </c>
    </row>
    <row r="64" spans="1:43" s="2" customFormat="1" ht="21.75" hidden="1" customHeight="1" x14ac:dyDescent="0.15">
      <c r="A64" s="30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AN64" s="209" t="s">
        <v>304</v>
      </c>
      <c r="AO64" s="210" t="s">
        <v>308</v>
      </c>
      <c r="AP64" s="211" t="s">
        <v>310</v>
      </c>
      <c r="AQ64" s="212" t="s">
        <v>319</v>
      </c>
    </row>
    <row r="65" spans="1:43" s="2" customFormat="1" ht="21.75" hidden="1" customHeight="1" x14ac:dyDescent="0.15">
      <c r="A65" s="56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AN65" s="209" t="s">
        <v>305</v>
      </c>
      <c r="AO65" s="210" t="s">
        <v>309</v>
      </c>
      <c r="AP65" s="213"/>
      <c r="AQ65" s="212" t="s">
        <v>301</v>
      </c>
    </row>
    <row r="66" spans="1:43" s="2" customFormat="1" ht="21.75" hidden="1" customHeight="1" x14ac:dyDescent="0.15">
      <c r="A66" s="30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AN66" s="209" t="s">
        <v>785</v>
      </c>
      <c r="AO66" s="210" t="s">
        <v>310</v>
      </c>
      <c r="AP66" s="213"/>
      <c r="AQ66" s="212" t="s">
        <v>320</v>
      </c>
    </row>
    <row r="67" spans="1:43" s="2" customFormat="1" ht="21.75" hidden="1" customHeight="1" x14ac:dyDescent="0.15">
      <c r="A67" s="56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AN67" s="209" t="s">
        <v>786</v>
      </c>
      <c r="AO67" s="214"/>
      <c r="AP67" s="213"/>
      <c r="AQ67" s="212" t="s">
        <v>321</v>
      </c>
    </row>
    <row r="68" spans="1:43" s="3" customFormat="1" ht="21.75" hidden="1" customHeight="1" x14ac:dyDescent="0.15">
      <c r="A68" s="30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AN68" s="209" t="s">
        <v>306</v>
      </c>
      <c r="AO68" s="214"/>
      <c r="AP68" s="213"/>
      <c r="AQ68" s="212" t="s">
        <v>278</v>
      </c>
    </row>
    <row r="69" spans="1:43" s="3" customFormat="1" ht="21.75" hidden="1" customHeight="1" x14ac:dyDescent="0.15">
      <c r="A69" s="56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AN69" s="209" t="s">
        <v>307</v>
      </c>
      <c r="AO69" s="214"/>
      <c r="AP69" s="215"/>
      <c r="AQ69" s="212" t="s">
        <v>279</v>
      </c>
    </row>
    <row r="70" spans="1:43" ht="21.75" hidden="1" customHeight="1" x14ac:dyDescent="0.15">
      <c r="A70" s="30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AN70" s="209" t="s">
        <v>308</v>
      </c>
      <c r="AO70" s="214"/>
      <c r="AP70" s="215"/>
      <c r="AQ70" s="212" t="s">
        <v>280</v>
      </c>
    </row>
    <row r="71" spans="1:43" ht="21.75" hidden="1" customHeight="1" x14ac:dyDescent="0.15">
      <c r="A71" s="56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AN71" s="209" t="s">
        <v>309</v>
      </c>
      <c r="AO71" s="214"/>
      <c r="AP71" s="215"/>
      <c r="AQ71" s="212" t="s">
        <v>322</v>
      </c>
    </row>
    <row r="72" spans="1:43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107">
        <v>0.63</v>
      </c>
      <c r="P72" s="107">
        <v>0.27</v>
      </c>
      <c r="Q72" s="107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AN72" s="209" t="s">
        <v>310</v>
      </c>
      <c r="AO72" s="215"/>
      <c r="AP72" s="215"/>
      <c r="AQ72" s="215"/>
    </row>
    <row r="73" spans="1:43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AN73" s="209" t="s">
        <v>277</v>
      </c>
      <c r="AO73" s="216"/>
      <c r="AP73" s="216"/>
      <c r="AQ73" s="216"/>
    </row>
    <row r="74" spans="1:43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AN74" s="209" t="s">
        <v>278</v>
      </c>
      <c r="AO74" s="215"/>
      <c r="AP74" s="215"/>
      <c r="AQ74" s="215"/>
    </row>
    <row r="75" spans="1:43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AN75" s="209" t="s">
        <v>279</v>
      </c>
      <c r="AO75" s="215"/>
      <c r="AP75" s="215"/>
      <c r="AQ75" s="215"/>
    </row>
    <row r="76" spans="1:43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AN76" s="209" t="s">
        <v>280</v>
      </c>
      <c r="AO76" s="215"/>
      <c r="AP76" s="215"/>
      <c r="AQ76" s="215"/>
    </row>
    <row r="77" spans="1:43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AN77" s="209" t="s">
        <v>281</v>
      </c>
      <c r="AO77" s="215"/>
      <c r="AP77" s="215"/>
      <c r="AQ77" s="215"/>
    </row>
    <row r="78" spans="1:43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43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43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111">
        <f t="shared" ref="T146:AC146" si="8">SUM(T142:T145)</f>
        <v>0</v>
      </c>
      <c r="U146" s="111">
        <f t="shared" si="8"/>
        <v>0</v>
      </c>
      <c r="V146" s="111">
        <f t="shared" si="8"/>
        <v>0</v>
      </c>
      <c r="W146" s="111">
        <f t="shared" si="8"/>
        <v>0</v>
      </c>
      <c r="X146" s="111">
        <f t="shared" si="8"/>
        <v>0</v>
      </c>
      <c r="Y146" s="111">
        <f t="shared" si="8"/>
        <v>0</v>
      </c>
      <c r="Z146" s="111">
        <f t="shared" si="8"/>
        <v>0</v>
      </c>
      <c r="AA146" s="111">
        <f t="shared" si="8"/>
        <v>0</v>
      </c>
      <c r="AB146" s="111">
        <f t="shared" si="8"/>
        <v>0</v>
      </c>
      <c r="AC146" s="111">
        <f t="shared" si="8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111">
        <f>SUM(T148:T151)</f>
        <v>0</v>
      </c>
      <c r="U152" s="111">
        <f t="shared" ref="U152:AC152" si="9">SUM(U148:U151)</f>
        <v>0</v>
      </c>
      <c r="V152" s="111">
        <f t="shared" si="9"/>
        <v>0</v>
      </c>
      <c r="W152" s="111">
        <f t="shared" si="9"/>
        <v>0</v>
      </c>
      <c r="X152" s="111">
        <f t="shared" si="9"/>
        <v>0</v>
      </c>
      <c r="Y152" s="111">
        <f t="shared" si="9"/>
        <v>0</v>
      </c>
      <c r="Z152" s="111">
        <f t="shared" si="9"/>
        <v>0</v>
      </c>
      <c r="AA152" s="111">
        <f t="shared" si="9"/>
        <v>0</v>
      </c>
      <c r="AB152" s="111">
        <f t="shared" si="9"/>
        <v>0</v>
      </c>
      <c r="AC152" s="111">
        <f t="shared" si="9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267</v>
      </c>
      <c r="AO157" t="s">
        <v>810</v>
      </c>
    </row>
    <row r="158" spans="20:41" ht="24" hidden="1" customHeight="1" x14ac:dyDescent="0.15">
      <c r="T158" s="111">
        <f>SUM(T154:T157)</f>
        <v>0</v>
      </c>
      <c r="U158" s="111">
        <f t="shared" ref="U158:AC158" si="10">SUM(U154:U157)</f>
        <v>0</v>
      </c>
      <c r="V158" s="111">
        <f t="shared" si="10"/>
        <v>0</v>
      </c>
      <c r="W158" s="111">
        <f t="shared" si="10"/>
        <v>0</v>
      </c>
      <c r="X158" s="111">
        <f t="shared" si="10"/>
        <v>0</v>
      </c>
      <c r="Y158" s="111">
        <f t="shared" si="10"/>
        <v>0</v>
      </c>
      <c r="Z158" s="111">
        <f t="shared" si="10"/>
        <v>0</v>
      </c>
      <c r="AA158" s="111">
        <f t="shared" si="10"/>
        <v>0</v>
      </c>
      <c r="AB158" s="111">
        <f t="shared" si="10"/>
        <v>0</v>
      </c>
      <c r="AC158" s="111">
        <f t="shared" si="10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111">
        <f t="shared" ref="T164:AC164" si="11">SUM(T160:T163)</f>
        <v>0</v>
      </c>
      <c r="U164" s="111">
        <f t="shared" si="11"/>
        <v>0</v>
      </c>
      <c r="V164" s="111">
        <f t="shared" si="11"/>
        <v>0</v>
      </c>
      <c r="W164" s="111">
        <f t="shared" si="11"/>
        <v>0</v>
      </c>
      <c r="X164" s="111">
        <f t="shared" si="11"/>
        <v>0</v>
      </c>
      <c r="Y164" s="111">
        <f t="shared" si="11"/>
        <v>0</v>
      </c>
      <c r="Z164" s="111">
        <f t="shared" si="11"/>
        <v>0</v>
      </c>
      <c r="AA164" s="111">
        <f t="shared" si="11"/>
        <v>0</v>
      </c>
      <c r="AB164" s="111">
        <f t="shared" si="11"/>
        <v>0</v>
      </c>
      <c r="AC164" s="111">
        <f t="shared" si="11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73">
        <f>IF($K7="障子",T158,IF($K7="外付けブラインド",T164,T152))</f>
        <v>0</v>
      </c>
      <c r="U166" s="73">
        <f>IF($K8="障子",U158,IF($K8="外付けブラインド",U164,U152))</f>
        <v>0</v>
      </c>
      <c r="V166" s="73">
        <f>IF($K9="障子",V158,IF($K9="外付けブラインド",V164,V152))</f>
        <v>0</v>
      </c>
      <c r="W166" s="73">
        <f>IF($K10="障子",W158,IF($K10="外付けブラインド",W164,W152))</f>
        <v>0</v>
      </c>
      <c r="X166" s="73">
        <f>IF($K11="障子",X158,IF($K11="外付けブラインド",X164,X152))</f>
        <v>0</v>
      </c>
      <c r="Y166" s="73">
        <f>IF($K12="障子",Y158,IF($K12="外付けブラインド",Y164,Y152))</f>
        <v>0</v>
      </c>
      <c r="Z166" s="73">
        <f>IF($K13="障子",Z158,IF($K13="外付けブラインド",Z164,Z152))</f>
        <v>0</v>
      </c>
      <c r="AA166" s="73">
        <f>IF($K14="障子",AA158,IF($K14="外付けブラインド",AA164,AA152))</f>
        <v>0</v>
      </c>
      <c r="AB166" s="73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51" t="s">
        <v>846</v>
      </c>
      <c r="H172" t="s">
        <v>7</v>
      </c>
      <c r="J172" s="51" t="s">
        <v>847</v>
      </c>
      <c r="K172" s="245" t="s">
        <v>848</v>
      </c>
      <c r="L172" s="51" t="s">
        <v>849</v>
      </c>
      <c r="M172" s="51" t="s">
        <v>853</v>
      </c>
      <c r="N172" s="51" t="s">
        <v>850</v>
      </c>
      <c r="O172" s="51" t="s">
        <v>851</v>
      </c>
      <c r="P172" s="51" t="s">
        <v>852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K173" s="80" t="s">
        <v>787</v>
      </c>
      <c r="N173" s="118"/>
      <c r="Y173" s="116"/>
      <c r="Z173" s="58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2:41" ht="24" hidden="1" customHeight="1" x14ac:dyDescent="0.15">
      <c r="B174" s="80" t="s">
        <v>788</v>
      </c>
      <c r="C174" s="115">
        <v>2.33</v>
      </c>
      <c r="G174" t="s">
        <v>330</v>
      </c>
      <c r="H174" s="111" t="e">
        <f>VLOOKUP(O23,$B$173:$C$187,2,0)</f>
        <v>#N/A</v>
      </c>
      <c r="K174" s="80" t="s">
        <v>788</v>
      </c>
      <c r="N174" s="118"/>
      <c r="Y174" s="116"/>
      <c r="Z174" s="58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2:41" ht="24" hidden="1" customHeight="1" x14ac:dyDescent="0.15">
      <c r="B175" s="80" t="s">
        <v>794</v>
      </c>
      <c r="C175" s="115">
        <v>2.91</v>
      </c>
      <c r="K175" s="80" t="s">
        <v>794</v>
      </c>
      <c r="Y175" s="116"/>
      <c r="Z175" s="58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2:41" ht="24" hidden="1" customHeight="1" x14ac:dyDescent="0.15">
      <c r="B176" s="80" t="s">
        <v>789</v>
      </c>
      <c r="C176" s="115">
        <v>2.91</v>
      </c>
      <c r="K176" s="80" t="s">
        <v>789</v>
      </c>
      <c r="Y176" s="116"/>
      <c r="Z176" s="58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2:35" ht="24" hidden="1" customHeight="1" x14ac:dyDescent="0.15">
      <c r="B177" s="80" t="s">
        <v>791</v>
      </c>
      <c r="C177" s="115">
        <v>2.33</v>
      </c>
      <c r="K177" s="80" t="s">
        <v>791</v>
      </c>
      <c r="Y177" s="78"/>
      <c r="Z177" s="58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2:35" ht="24" hidden="1" customHeight="1" x14ac:dyDescent="0.15">
      <c r="B178" s="80" t="s">
        <v>795</v>
      </c>
      <c r="C178" s="115">
        <v>1.75</v>
      </c>
      <c r="K178" s="80" t="s">
        <v>795</v>
      </c>
      <c r="Y178" s="78"/>
      <c r="Z178" s="58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2:35" ht="24" hidden="1" customHeight="1" x14ac:dyDescent="0.15">
      <c r="B179" s="80" t="s">
        <v>796</v>
      </c>
      <c r="C179" s="115">
        <v>2.33</v>
      </c>
      <c r="K179" s="80" t="s">
        <v>796</v>
      </c>
      <c r="Y179" s="78"/>
      <c r="Z179" s="58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2:35" ht="24" hidden="1" customHeight="1" x14ac:dyDescent="0.15">
      <c r="B180" s="80" t="s">
        <v>797</v>
      </c>
      <c r="C180" s="115">
        <v>2.91</v>
      </c>
      <c r="K180" s="80" t="s">
        <v>797</v>
      </c>
      <c r="Y180" s="78"/>
      <c r="Z180" s="58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2:35" ht="24" hidden="1" customHeight="1" x14ac:dyDescent="0.15">
      <c r="B181" s="80" t="s">
        <v>798</v>
      </c>
      <c r="C181" s="115">
        <v>2.91</v>
      </c>
      <c r="K181" s="80" t="s">
        <v>798</v>
      </c>
      <c r="Y181" s="78"/>
      <c r="Z181" s="76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2:35" ht="24" hidden="1" customHeight="1" x14ac:dyDescent="0.15">
      <c r="B182" s="80" t="s">
        <v>799</v>
      </c>
      <c r="C182" s="115">
        <v>2.33</v>
      </c>
      <c r="K182" s="80" t="s">
        <v>799</v>
      </c>
      <c r="Y182" s="78"/>
      <c r="Z182" s="58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2:35" ht="24" hidden="1" customHeight="1" x14ac:dyDescent="0.15">
      <c r="B183" s="80" t="s">
        <v>801</v>
      </c>
      <c r="C183" s="115">
        <v>3.49</v>
      </c>
      <c r="K183" s="80" t="s">
        <v>801</v>
      </c>
      <c r="Y183" s="78"/>
      <c r="Z183" s="58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2:35" ht="24" hidden="1" customHeight="1" x14ac:dyDescent="0.15">
      <c r="B184" s="80" t="s">
        <v>803</v>
      </c>
      <c r="C184" s="115">
        <v>3.49</v>
      </c>
      <c r="K184" s="80" t="s">
        <v>803</v>
      </c>
    </row>
    <row r="185" spans="2:35" ht="24" hidden="1" customHeight="1" x14ac:dyDescent="0.15">
      <c r="B185" s="80" t="s">
        <v>805</v>
      </c>
      <c r="C185" s="115">
        <v>4.6500000000000004</v>
      </c>
      <c r="K185" s="80" t="s">
        <v>805</v>
      </c>
    </row>
    <row r="186" spans="2:35" ht="24" hidden="1" customHeight="1" x14ac:dyDescent="0.15">
      <c r="B186" s="80" t="s">
        <v>806</v>
      </c>
      <c r="C186" s="115">
        <v>4.07</v>
      </c>
      <c r="K186" s="80" t="s">
        <v>806</v>
      </c>
    </row>
    <row r="187" spans="2:35" ht="24" hidden="1" customHeight="1" x14ac:dyDescent="0.15">
      <c r="B187" s="80" t="s">
        <v>808</v>
      </c>
      <c r="C187" s="115">
        <v>4.6500000000000004</v>
      </c>
      <c r="K187" s="80" t="s">
        <v>808</v>
      </c>
    </row>
  </sheetData>
  <sheetProtection algorithmName="SHA-512" hashValue="/9fj3ClPa33OSWvLFt+H92vScmFdgfI9+DrZ0j32HFDarwzjAjN0+dVZAOy3fxjO84Fcvu1P4+n6Q4iTAr/quA==" saltValue="vHcBzpRcJ+sk4xZTOpB5Zw==" spinCount="100000" sheet="1" objects="1" scenarios="1" selectLockedCells="1"/>
  <mergeCells count="242"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</mergeCells>
  <phoneticPr fontId="2"/>
  <conditionalFormatting sqref="U17:V17">
    <cfRule type="expression" dxfId="119" priority="18" stopIfTrue="1">
      <formula>$U$17=0</formula>
    </cfRule>
  </conditionalFormatting>
  <conditionalFormatting sqref="W17:X17">
    <cfRule type="expression" dxfId="118" priority="17" stopIfTrue="1">
      <formula>$W$17=0</formula>
    </cfRule>
  </conditionalFormatting>
  <conditionalFormatting sqref="Y17:Z17">
    <cfRule type="expression" dxfId="117" priority="16" stopIfTrue="1">
      <formula>$Y$17=0</formula>
    </cfRule>
  </conditionalFormatting>
  <conditionalFormatting sqref="U24:Z24">
    <cfRule type="expression" dxfId="116" priority="15" stopIfTrue="1">
      <formula>$U$24:$Z$24=0</formula>
    </cfRule>
  </conditionalFormatting>
  <conditionalFormatting sqref="U32:V32">
    <cfRule type="expression" dxfId="115" priority="14" stopIfTrue="1">
      <formula>$U$32:$V$32=0</formula>
    </cfRule>
  </conditionalFormatting>
  <conditionalFormatting sqref="X35:Y35">
    <cfRule type="expression" dxfId="114" priority="13" stopIfTrue="1">
      <formula>$X$35=0</formula>
    </cfRule>
  </conditionalFormatting>
  <conditionalFormatting sqref="P35:Q35">
    <cfRule type="expression" dxfId="113" priority="12" stopIfTrue="1">
      <formula>$P$35=0</formula>
    </cfRule>
  </conditionalFormatting>
  <conditionalFormatting sqref="T35:U35">
    <cfRule type="expression" dxfId="112" priority="11" stopIfTrue="1">
      <formula>$T$35=0</formula>
    </cfRule>
  </conditionalFormatting>
  <conditionalFormatting sqref="K35:M35">
    <cfRule type="expression" dxfId="111" priority="10" stopIfTrue="1">
      <formula>$K$35=0</formula>
    </cfRule>
  </conditionalFormatting>
  <conditionalFormatting sqref="W7:X7">
    <cfRule type="expression" dxfId="110" priority="8" stopIfTrue="1">
      <formula>#VALUE!</formula>
    </cfRule>
    <cfRule type="expression" dxfId="109" priority="9" stopIfTrue="1">
      <formula>#VALUE!</formula>
    </cfRule>
  </conditionalFormatting>
  <conditionalFormatting sqref="W16:X16">
    <cfRule type="expression" dxfId="108" priority="7" stopIfTrue="1">
      <formula>#VALUE!</formula>
    </cfRule>
  </conditionalFormatting>
  <conditionalFormatting sqref="O7:T16">
    <cfRule type="expression" dxfId="107" priority="6" stopIfTrue="1">
      <formula>$AF7=TRUE</formula>
    </cfRule>
  </conditionalFormatting>
  <conditionalFormatting sqref="W7:X7">
    <cfRule type="expression" dxfId="106" priority="4" stopIfTrue="1">
      <formula>#VALUE!</formula>
    </cfRule>
    <cfRule type="expression" dxfId="105" priority="5" stopIfTrue="1">
      <formula>#VALUE!</formula>
    </cfRule>
  </conditionalFormatting>
  <conditionalFormatting sqref="W16:X16">
    <cfRule type="expression" dxfId="104" priority="3" stopIfTrue="1">
      <formula>#VALUE!</formula>
    </cfRule>
  </conditionalFormatting>
  <conditionalFormatting sqref="W32:X32">
    <cfRule type="expression" dxfId="103" priority="2" stopIfTrue="1">
      <formula>$W$32:$X$32=0</formula>
    </cfRule>
  </conditionalFormatting>
  <conditionalFormatting sqref="Y32:Z32">
    <cfRule type="expression" dxfId="102" priority="1" stopIfTrue="1">
      <formula>$Y$32:$Z$32=0</formula>
    </cfRule>
  </conditionalFormatting>
  <dataValidations disablePrompts="1" count="6">
    <dataValidation type="list" allowBlank="1" showInputMessage="1" showErrorMessage="1" sqref="S22:T23" xr:uid="{00000000-0002-0000-0600-000000000000}">
      <formula1>"あり,なし"</formula1>
    </dataValidation>
    <dataValidation type="list" allowBlank="1" showInputMessage="1" showErrorMessage="1" sqref="K7:L16" xr:uid="{00000000-0002-0000-0600-000001000000}">
      <formula1>"　,雨戸,ｼｬｯﾀｰ,障子,風除室,外付けブラインド"</formula1>
    </dataValidation>
    <dataValidation type="list" allowBlank="1" showInputMessage="1" showErrorMessage="1" sqref="I29:I31" xr:uid="{00000000-0002-0000-0600-000002000000}">
      <formula1>"W-1,W-2,W-3"</formula1>
    </dataValidation>
    <dataValidation type="list" allowBlank="1" showInputMessage="1" showErrorMessage="1" sqref="G7:H16" xr:uid="{00000000-0002-0000-0600-000003000000}">
      <formula1>建具の仕様_東</formula1>
    </dataValidation>
    <dataValidation type="list" allowBlank="1" showInputMessage="1" showErrorMessage="1" sqref="I7:J16" xr:uid="{00000000-0002-0000-0600-000004000000}">
      <formula1>INDIRECT(G7)</formula1>
    </dataValidation>
    <dataValidation type="list" allowBlank="1" showInputMessage="1" showErrorMessage="1" sqref="O22:R23" xr:uid="{00000000-0002-0000-0600-000005000000}">
      <formula1>建具の構成_東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17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8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9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0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1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2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3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4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5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6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2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3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4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 x14ac:dyDescent="0.15">
      <c r="A1" s="492" t="s">
        <v>340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532" t="b">
        <f>IF(共通条件・結果!Z6="８地域","0.528",IF(共通条件・結果!Z6="７地域",0.49,IF(共通条件・結果!Z6="６地域",0.498,IF(共通条件・結果!Z6="５地域",0.5,IF(共通条件・結果!Z6="４地域",0.508,IF(共通条件・結果!Z6="３地域",0.487,IF(共通条件・結果!Z6="２地域",0.527,IF(共通条件・結果!Z6="１地域",0.56))))))))</f>
        <v>0</v>
      </c>
      <c r="V3" s="533"/>
      <c r="W3" s="494" t="b">
        <f>IF(共通条件・結果!Z6="８地域","-",IF(共通条件・結果!Z6="７地域",0.843,IF(共通条件・結果!Z6="６地域",0.833,IF(共通条件・結果!Z6="５地域",0.846,IF(共通条件・結果!Z6="４地域",0.724,IF(共通条件・結果!Z6="３地域",0.751,IF(共通条件・結果!Z6="２地域",0.766,IF(共通条件・結果!Z6="１地域",0.823))))))))</f>
        <v>0</v>
      </c>
      <c r="X3" s="495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491"/>
      <c r="C7" s="475"/>
      <c r="D7" s="476"/>
      <c r="E7" s="476"/>
      <c r="F7" s="477"/>
      <c r="G7" s="429"/>
      <c r="H7" s="430"/>
      <c r="I7" s="431"/>
      <c r="J7" s="432"/>
      <c r="K7" s="473"/>
      <c r="L7" s="47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 t="shared" ref="Y7:Y16" si="1"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IF(共通条件・結果!$Z$6="８（Ⅵ）",0.01*(16+19*(2*Q7+S7)/O7),0.01*(16+24*(2*Q7+S7)/O7))</f>
        <v>#DIV/0!</v>
      </c>
      <c r="AK7" s="2" t="e">
        <f>0.01*(5+20*(3*Q7+S7)/O7)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460"/>
      <c r="C8" s="485"/>
      <c r="D8" s="442"/>
      <c r="E8" s="442"/>
      <c r="F8" s="443"/>
      <c r="G8" s="486"/>
      <c r="H8" s="487"/>
      <c r="I8" s="486"/>
      <c r="J8" s="487"/>
      <c r="K8" s="446"/>
      <c r="L8" s="446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3">IF(C8="","",IF(ISERROR(AD8),#VALUE!,AD8))</f>
        <v/>
      </c>
      <c r="X8" s="354"/>
      <c r="Y8" s="354" t="str">
        <f t="shared" si="1"/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>IF(共通条件・結果!$Z$6="８（Ⅵ）",0.01*(16+19*(2*Q8+S8)/O8),0.01*(16+24*(2*Q8+S8)/O8))</f>
        <v>#DIV/0!</v>
      </c>
      <c r="AK8" s="2" t="e">
        <f t="shared" ref="AK8:AK16" si="6">0.01*(5+20*(3*Q8+S8)/O8)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0"/>
      <c r="BA8" s="80"/>
    </row>
    <row r="9" spans="1:53" s="2" customFormat="1" ht="34.5" customHeight="1" x14ac:dyDescent="0.15">
      <c r="A9" s="459"/>
      <c r="B9" s="460"/>
      <c r="C9" s="485"/>
      <c r="D9" s="442"/>
      <c r="E9" s="442"/>
      <c r="F9" s="443"/>
      <c r="G9" s="486"/>
      <c r="H9" s="487"/>
      <c r="I9" s="486"/>
      <c r="J9" s="487"/>
      <c r="K9" s="446"/>
      <c r="L9" s="446"/>
      <c r="M9" s="488"/>
      <c r="N9" s="489"/>
      <c r="O9" s="425"/>
      <c r="P9" s="426"/>
      <c r="Q9" s="427"/>
      <c r="R9" s="428"/>
      <c r="S9" s="425"/>
      <c r="T9" s="426"/>
      <c r="U9" s="354" t="str">
        <f t="shared" si="0"/>
        <v/>
      </c>
      <c r="V9" s="354"/>
      <c r="W9" s="354" t="str">
        <f t="shared" si="3"/>
        <v/>
      </c>
      <c r="X9" s="354"/>
      <c r="Y9" s="354" t="str">
        <f t="shared" si="1"/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>IF(共通条件・結果!$Z$6="８（Ⅵ）",0.01*(16+19*(2*Q9+S9)/O9),0.01*(16+24*(2*Q9+S9)/O9))</f>
        <v>#DIV/0!</v>
      </c>
      <c r="AK9" s="2" t="e">
        <f t="shared" si="6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0"/>
      <c r="BA9" s="80"/>
    </row>
    <row r="10" spans="1:53" s="2" customFormat="1" ht="34.5" customHeight="1" x14ac:dyDescent="0.15">
      <c r="A10" s="459"/>
      <c r="B10" s="460"/>
      <c r="C10" s="485"/>
      <c r="D10" s="442"/>
      <c r="E10" s="442"/>
      <c r="F10" s="443"/>
      <c r="G10" s="486"/>
      <c r="H10" s="487"/>
      <c r="I10" s="486"/>
      <c r="J10" s="487"/>
      <c r="K10" s="446"/>
      <c r="L10" s="446"/>
      <c r="M10" s="488"/>
      <c r="N10" s="489"/>
      <c r="O10" s="425"/>
      <c r="P10" s="426"/>
      <c r="Q10" s="427"/>
      <c r="R10" s="428"/>
      <c r="S10" s="425"/>
      <c r="T10" s="426"/>
      <c r="U10" s="354" t="str">
        <f t="shared" si="0"/>
        <v/>
      </c>
      <c r="V10" s="354"/>
      <c r="W10" s="354" t="str">
        <f t="shared" si="3"/>
        <v/>
      </c>
      <c r="X10" s="354"/>
      <c r="Y10" s="354" t="str">
        <f t="shared" si="1"/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>IF(共通条件・結果!$Z$6="８（Ⅵ）",0.01*(16+19*(2*Q10+S10)/O10),0.01*(16+24*(2*Q10+S10)/O10))</f>
        <v>#DIV/0!</v>
      </c>
      <c r="AK10" s="2" t="e">
        <f t="shared" si="6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0"/>
      <c r="BA10" s="80"/>
    </row>
    <row r="11" spans="1:53" s="2" customFormat="1" ht="34.5" customHeight="1" x14ac:dyDescent="0.15">
      <c r="A11" s="459"/>
      <c r="B11" s="460"/>
      <c r="C11" s="485"/>
      <c r="D11" s="442"/>
      <c r="E11" s="442"/>
      <c r="F11" s="443"/>
      <c r="G11" s="486"/>
      <c r="H11" s="487"/>
      <c r="I11" s="486"/>
      <c r="J11" s="487"/>
      <c r="K11" s="446"/>
      <c r="L11" s="446"/>
      <c r="M11" s="488"/>
      <c r="N11" s="489"/>
      <c r="O11" s="425"/>
      <c r="P11" s="426"/>
      <c r="Q11" s="427"/>
      <c r="R11" s="428"/>
      <c r="S11" s="425"/>
      <c r="T11" s="426"/>
      <c r="U11" s="354" t="str">
        <f t="shared" si="0"/>
        <v/>
      </c>
      <c r="V11" s="354"/>
      <c r="W11" s="354" t="str">
        <f t="shared" si="3"/>
        <v/>
      </c>
      <c r="X11" s="354"/>
      <c r="Y11" s="354" t="str">
        <f t="shared" si="1"/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>IF(共通条件・結果!$Z$6="８（Ⅵ）",0.01*(16+19*(2*Q11+S11)/O11),0.01*(16+24*(2*Q11+S11)/O11))</f>
        <v>#DIV/0!</v>
      </c>
      <c r="AK11" s="2" t="e">
        <f t="shared" si="6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0"/>
      <c r="BA11" s="80"/>
    </row>
    <row r="12" spans="1:53" s="2" customFormat="1" ht="34.5" customHeight="1" x14ac:dyDescent="0.15">
      <c r="A12" s="459"/>
      <c r="B12" s="460"/>
      <c r="C12" s="485"/>
      <c r="D12" s="442"/>
      <c r="E12" s="442"/>
      <c r="F12" s="443"/>
      <c r="G12" s="486"/>
      <c r="H12" s="487"/>
      <c r="I12" s="486"/>
      <c r="J12" s="487"/>
      <c r="K12" s="446"/>
      <c r="L12" s="446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3"/>
        <v/>
      </c>
      <c r="X12" s="354"/>
      <c r="Y12" s="354" t="str">
        <f>IF(C12="","",C12*E12*AM12)</f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>IF(共通条件・結果!$Z$6="８（Ⅵ）",0.01*(16+19*(2*Q12+S12)/O12),0.01*(16+24*(2*Q12+S12)/O12))</f>
        <v>#DIV/0!</v>
      </c>
      <c r="AK12" s="2" t="e">
        <f t="shared" si="6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0"/>
      <c r="BA12" s="80"/>
    </row>
    <row r="13" spans="1:53" s="2" customFormat="1" ht="34.5" customHeight="1" x14ac:dyDescent="0.15">
      <c r="A13" s="459"/>
      <c r="B13" s="460"/>
      <c r="C13" s="485"/>
      <c r="D13" s="442"/>
      <c r="E13" s="442"/>
      <c r="F13" s="443"/>
      <c r="G13" s="486"/>
      <c r="H13" s="487"/>
      <c r="I13" s="486"/>
      <c r="J13" s="487"/>
      <c r="K13" s="446"/>
      <c r="L13" s="446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3"/>
        <v/>
      </c>
      <c r="X13" s="354"/>
      <c r="Y13" s="354" t="str">
        <f t="shared" si="1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>IF(共通条件・結果!$Z$6="８（Ⅵ）",0.01*(16+19*(2*Q13+S13)/O13),0.01*(16+24*(2*Q13+S13)/O13))</f>
        <v>#DIV/0!</v>
      </c>
      <c r="AK13" s="2" t="e">
        <f t="shared" si="6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0"/>
      <c r="BA13" s="80"/>
    </row>
    <row r="14" spans="1:53" s="2" customFormat="1" ht="34.5" customHeight="1" x14ac:dyDescent="0.15">
      <c r="A14" s="459"/>
      <c r="B14" s="460"/>
      <c r="C14" s="485"/>
      <c r="D14" s="442"/>
      <c r="E14" s="442"/>
      <c r="F14" s="443"/>
      <c r="G14" s="486"/>
      <c r="H14" s="487"/>
      <c r="I14" s="486"/>
      <c r="J14" s="487"/>
      <c r="K14" s="446"/>
      <c r="L14" s="446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3"/>
        <v/>
      </c>
      <c r="X14" s="354"/>
      <c r="Y14" s="354" t="str">
        <f t="shared" si="1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>IF(共通条件・結果!$Z$6="８（Ⅵ）",0.01*(16+19*(2*Q14+S14)/O14),0.01*(16+24*(2*Q14+S14)/O14))</f>
        <v>#DIV/0!</v>
      </c>
      <c r="AK14" s="2" t="e">
        <f t="shared" si="6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0"/>
      <c r="BA14" s="80"/>
    </row>
    <row r="15" spans="1:53" s="2" customFormat="1" ht="34.5" customHeight="1" x14ac:dyDescent="0.15">
      <c r="A15" s="459"/>
      <c r="B15" s="460"/>
      <c r="C15" s="485"/>
      <c r="D15" s="442"/>
      <c r="E15" s="442"/>
      <c r="F15" s="443"/>
      <c r="G15" s="486"/>
      <c r="H15" s="487"/>
      <c r="I15" s="486"/>
      <c r="J15" s="487"/>
      <c r="K15" s="446"/>
      <c r="L15" s="446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3"/>
        <v/>
      </c>
      <c r="X15" s="354"/>
      <c r="Y15" s="354" t="str">
        <f t="shared" si="1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>IF(共通条件・結果!$Z$6="８（Ⅵ）",0.01*(16+19*(2*Q15+S15)/O15),0.01*(16+24*(2*Q15+S15)/O15))</f>
        <v>#DIV/0!</v>
      </c>
      <c r="AK15" s="2" t="e">
        <f t="shared" si="6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0"/>
      <c r="BA15" s="80"/>
    </row>
    <row r="16" spans="1:53" s="2" customFormat="1" ht="34.5" customHeight="1" thickBot="1" x14ac:dyDescent="0.2">
      <c r="A16" s="468"/>
      <c r="B16" s="469"/>
      <c r="C16" s="392"/>
      <c r="D16" s="374"/>
      <c r="E16" s="374"/>
      <c r="F16" s="375"/>
      <c r="G16" s="471"/>
      <c r="H16" s="472"/>
      <c r="I16" s="471"/>
      <c r="J16" s="472"/>
      <c r="K16" s="473"/>
      <c r="L16" s="473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3"/>
        <v/>
      </c>
      <c r="X16" s="354"/>
      <c r="Y16" s="360" t="str">
        <f t="shared" si="1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>IF(共通条件・結果!$Z$6="８（Ⅵ）",0.01*(16+19*(2*Q16+S16)/O16),0.01*(16+24*(2*Q16+S16)/O16))</f>
        <v>#DIV/0!</v>
      </c>
      <c r="AK16" s="2" t="e">
        <f t="shared" si="6"/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0"/>
      <c r="BA16" s="80"/>
    </row>
    <row r="17" spans="1:53" s="2" customFormat="1" ht="21.95" customHeight="1" thickBot="1" x14ac:dyDescent="0.2">
      <c r="A17" s="453" t="s">
        <v>354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355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356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47" s="2" customFormat="1" ht="10.5" customHeight="1" x14ac:dyDescent="0.15"/>
    <row r="34" spans="1:47" s="2" customFormat="1" ht="21.95" customHeight="1" thickBot="1" x14ac:dyDescent="0.2">
      <c r="A34" s="4" t="s">
        <v>357</v>
      </c>
    </row>
    <row r="35" spans="1:47" s="2" customFormat="1" ht="21.95" customHeight="1" x14ac:dyDescent="0.15">
      <c r="A35" s="461" t="s">
        <v>333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47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47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47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47" s="2" customFormat="1" ht="21.95" customHeight="1" x14ac:dyDescent="0.15"/>
    <row r="40" spans="1:47" s="2" customFormat="1" ht="21.95" customHeight="1" x14ac:dyDescent="0.15"/>
    <row r="41" spans="1:47" s="2" customFormat="1" ht="21.95" customHeight="1" x14ac:dyDescent="0.15"/>
    <row r="42" spans="1:47" s="2" customFormat="1" ht="21.95" hidden="1" customHeight="1" x14ac:dyDescent="0.15">
      <c r="B42" s="114" t="s">
        <v>266</v>
      </c>
    </row>
    <row r="43" spans="1:47" s="2" customFormat="1" ht="21.95" hidden="1" customHeight="1" x14ac:dyDescent="0.15">
      <c r="AC43" s="54"/>
      <c r="AD43" s="54"/>
    </row>
    <row r="44" spans="1:47" s="2" customFormat="1" ht="21.75" hidden="1" customHeight="1" x14ac:dyDescent="0.15">
      <c r="B44" s="51" t="s">
        <v>109</v>
      </c>
      <c r="O44" s="351" t="s">
        <v>186</v>
      </c>
      <c r="P44" s="351"/>
      <c r="Q44" s="351"/>
      <c r="AC44" s="54"/>
      <c r="AD44" s="54"/>
    </row>
    <row r="45" spans="1:47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  <c r="AJ45" s="51" t="s">
        <v>838</v>
      </c>
      <c r="AN45" s="51" t="s">
        <v>839</v>
      </c>
      <c r="AR45" s="51" t="s">
        <v>840</v>
      </c>
    </row>
    <row r="46" spans="1:47" s="2" customFormat="1" ht="21.75" hidden="1" customHeight="1" x14ac:dyDescent="0.15">
      <c r="A46" s="30"/>
      <c r="B46" s="223" t="s">
        <v>833</v>
      </c>
      <c r="C46" s="224" t="s">
        <v>156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  <c r="AN46" s="208" t="s">
        <v>833</v>
      </c>
      <c r="AO46" s="208" t="s">
        <v>834</v>
      </c>
      <c r="AP46" s="208" t="s">
        <v>835</v>
      </c>
      <c r="AQ46" s="208" t="s">
        <v>836</v>
      </c>
      <c r="AR46" s="208" t="s">
        <v>833</v>
      </c>
      <c r="AS46" s="208" t="s">
        <v>834</v>
      </c>
      <c r="AT46" s="208" t="s">
        <v>835</v>
      </c>
      <c r="AU46" s="208" t="s">
        <v>836</v>
      </c>
    </row>
    <row r="47" spans="1:47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AR47" s="209" t="s">
        <v>282</v>
      </c>
      <c r="AS47" s="210" t="s">
        <v>297</v>
      </c>
      <c r="AT47" s="211" t="s">
        <v>290</v>
      </c>
      <c r="AU47" s="212" t="s">
        <v>290</v>
      </c>
    </row>
    <row r="48" spans="1:47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AR48" s="209" t="s">
        <v>283</v>
      </c>
      <c r="AS48" s="210" t="s">
        <v>298</v>
      </c>
      <c r="AT48" s="211" t="s">
        <v>291</v>
      </c>
      <c r="AU48" s="212" t="s">
        <v>291</v>
      </c>
    </row>
    <row r="49" spans="1:47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AR49" s="209" t="s">
        <v>284</v>
      </c>
      <c r="AS49" s="210" t="s">
        <v>290</v>
      </c>
      <c r="AT49" s="211" t="s">
        <v>299</v>
      </c>
      <c r="AU49" s="212" t="s">
        <v>299</v>
      </c>
    </row>
    <row r="50" spans="1:47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AR50" s="209" t="s">
        <v>285</v>
      </c>
      <c r="AS50" s="210" t="s">
        <v>291</v>
      </c>
      <c r="AT50" s="211" t="s">
        <v>300</v>
      </c>
      <c r="AU50" s="212" t="s">
        <v>300</v>
      </c>
    </row>
    <row r="51" spans="1:47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AR51" s="209" t="s">
        <v>286</v>
      </c>
      <c r="AS51" s="210" t="s">
        <v>311</v>
      </c>
      <c r="AT51" s="211" t="s">
        <v>313</v>
      </c>
      <c r="AU51" s="212" t="s">
        <v>304</v>
      </c>
    </row>
    <row r="52" spans="1:47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AR52" s="209" t="s">
        <v>287</v>
      </c>
      <c r="AS52" s="210" t="s">
        <v>312</v>
      </c>
      <c r="AT52" s="211" t="s">
        <v>314</v>
      </c>
      <c r="AU52" s="212" t="s">
        <v>305</v>
      </c>
    </row>
    <row r="53" spans="1:47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AR53" s="209" t="s">
        <v>288</v>
      </c>
      <c r="AS53" s="210" t="s">
        <v>304</v>
      </c>
      <c r="AT53" s="211" t="s">
        <v>785</v>
      </c>
      <c r="AU53" s="212" t="s">
        <v>785</v>
      </c>
    </row>
    <row r="54" spans="1:47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AR54" s="209" t="s">
        <v>289</v>
      </c>
      <c r="AS54" s="210" t="s">
        <v>305</v>
      </c>
      <c r="AT54" s="211" t="s">
        <v>786</v>
      </c>
      <c r="AU54" s="212" t="s">
        <v>786</v>
      </c>
    </row>
    <row r="55" spans="1:47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AR55" s="209" t="s">
        <v>290</v>
      </c>
      <c r="AS55" s="210" t="s">
        <v>785</v>
      </c>
      <c r="AT55" s="211" t="s">
        <v>292</v>
      </c>
      <c r="AU55" s="212" t="s">
        <v>292</v>
      </c>
    </row>
    <row r="56" spans="1:47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AR56" s="209" t="s">
        <v>291</v>
      </c>
      <c r="AS56" s="210" t="s">
        <v>786</v>
      </c>
      <c r="AT56" s="211" t="s">
        <v>293</v>
      </c>
      <c r="AU56" s="212" t="s">
        <v>293</v>
      </c>
    </row>
    <row r="57" spans="1:47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AR57" s="209" t="s">
        <v>302</v>
      </c>
      <c r="AS57" s="210" t="s">
        <v>292</v>
      </c>
      <c r="AT57" s="211" t="s">
        <v>294</v>
      </c>
      <c r="AU57" s="212" t="s">
        <v>294</v>
      </c>
    </row>
    <row r="58" spans="1:47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AR58" s="209" t="s">
        <v>303</v>
      </c>
      <c r="AS58" s="210" t="s">
        <v>293</v>
      </c>
      <c r="AT58" s="211" t="s">
        <v>295</v>
      </c>
      <c r="AU58" s="212" t="s">
        <v>295</v>
      </c>
    </row>
    <row r="59" spans="1:47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AR59" s="209" t="s">
        <v>292</v>
      </c>
      <c r="AS59" s="210" t="s">
        <v>294</v>
      </c>
      <c r="AT59" s="211" t="s">
        <v>296</v>
      </c>
      <c r="AU59" s="212" t="s">
        <v>296</v>
      </c>
    </row>
    <row r="60" spans="1:47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AR60" s="209" t="s">
        <v>293</v>
      </c>
      <c r="AS60" s="210" t="s">
        <v>295</v>
      </c>
      <c r="AT60" s="211" t="s">
        <v>306</v>
      </c>
      <c r="AU60" s="212" t="s">
        <v>315</v>
      </c>
    </row>
    <row r="61" spans="1:47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AR61" s="209" t="s">
        <v>294</v>
      </c>
      <c r="AS61" s="210" t="s">
        <v>296</v>
      </c>
      <c r="AT61" s="211" t="s">
        <v>307</v>
      </c>
      <c r="AU61" s="212" t="s">
        <v>316</v>
      </c>
    </row>
    <row r="62" spans="1:47" s="2" customFormat="1" ht="21.75" hidden="1" customHeight="1" x14ac:dyDescent="0.15">
      <c r="A62" s="30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AR62" s="209" t="s">
        <v>295</v>
      </c>
      <c r="AS62" s="210" t="s">
        <v>306</v>
      </c>
      <c r="AT62" s="211" t="s">
        <v>308</v>
      </c>
      <c r="AU62" s="212" t="s">
        <v>317</v>
      </c>
    </row>
    <row r="63" spans="1:47" s="2" customFormat="1" ht="21.75" hidden="1" customHeight="1" x14ac:dyDescent="0.15">
      <c r="A63" s="56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AR63" s="209" t="s">
        <v>296</v>
      </c>
      <c r="AS63" s="210" t="s">
        <v>307</v>
      </c>
      <c r="AT63" s="211" t="s">
        <v>309</v>
      </c>
      <c r="AU63" s="212" t="s">
        <v>318</v>
      </c>
    </row>
    <row r="64" spans="1:47" s="2" customFormat="1" ht="21.75" hidden="1" customHeight="1" x14ac:dyDescent="0.15">
      <c r="A64" s="30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AR64" s="209" t="s">
        <v>304</v>
      </c>
      <c r="AS64" s="210" t="s">
        <v>308</v>
      </c>
      <c r="AT64" s="211" t="s">
        <v>310</v>
      </c>
      <c r="AU64" s="212" t="s">
        <v>319</v>
      </c>
    </row>
    <row r="65" spans="1:47" s="2" customFormat="1" ht="21.75" hidden="1" customHeight="1" x14ac:dyDescent="0.15">
      <c r="A65" s="56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AR65" s="209" t="s">
        <v>305</v>
      </c>
      <c r="AS65" s="210" t="s">
        <v>309</v>
      </c>
      <c r="AT65" s="213"/>
      <c r="AU65" s="212" t="s">
        <v>301</v>
      </c>
    </row>
    <row r="66" spans="1:47" s="2" customFormat="1" ht="21.75" hidden="1" customHeight="1" x14ac:dyDescent="0.15">
      <c r="A66" s="30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AR66" s="209" t="s">
        <v>785</v>
      </c>
      <c r="AS66" s="210" t="s">
        <v>310</v>
      </c>
      <c r="AT66" s="213"/>
      <c r="AU66" s="212" t="s">
        <v>320</v>
      </c>
    </row>
    <row r="67" spans="1:47" s="2" customFormat="1" ht="21.75" hidden="1" customHeight="1" x14ac:dyDescent="0.15">
      <c r="A67" s="56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AR67" s="209" t="s">
        <v>786</v>
      </c>
      <c r="AS67" s="214"/>
      <c r="AT67" s="213"/>
      <c r="AU67" s="212" t="s">
        <v>321</v>
      </c>
    </row>
    <row r="68" spans="1:47" s="3" customFormat="1" ht="21.75" hidden="1" customHeight="1" x14ac:dyDescent="0.15">
      <c r="A68" s="30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AR68" s="209" t="s">
        <v>306</v>
      </c>
      <c r="AS68" s="214"/>
      <c r="AT68" s="213"/>
      <c r="AU68" s="212" t="s">
        <v>278</v>
      </c>
    </row>
    <row r="69" spans="1:47" s="3" customFormat="1" ht="21.75" hidden="1" customHeight="1" x14ac:dyDescent="0.15">
      <c r="A69" s="56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AR69" s="209" t="s">
        <v>307</v>
      </c>
      <c r="AS69" s="214"/>
      <c r="AT69" s="215"/>
      <c r="AU69" s="212" t="s">
        <v>279</v>
      </c>
    </row>
    <row r="70" spans="1:47" ht="21.75" hidden="1" customHeight="1" x14ac:dyDescent="0.15">
      <c r="A70" s="30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AR70" s="209" t="s">
        <v>308</v>
      </c>
      <c r="AS70" s="214"/>
      <c r="AT70" s="215"/>
      <c r="AU70" s="212" t="s">
        <v>280</v>
      </c>
    </row>
    <row r="71" spans="1:47" ht="21.75" hidden="1" customHeight="1" x14ac:dyDescent="0.15">
      <c r="A71" s="56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AR71" s="209" t="s">
        <v>309</v>
      </c>
      <c r="AS71" s="214"/>
      <c r="AT71" s="215"/>
      <c r="AU71" s="212" t="s">
        <v>322</v>
      </c>
    </row>
    <row r="72" spans="1:47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107">
        <v>0.63</v>
      </c>
      <c r="P72" s="107">
        <v>0.27</v>
      </c>
      <c r="Q72" s="107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AR72" s="209" t="s">
        <v>310</v>
      </c>
      <c r="AS72" s="215"/>
      <c r="AT72" s="215"/>
      <c r="AU72" s="215"/>
    </row>
    <row r="73" spans="1:47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AR73" s="209" t="s">
        <v>277</v>
      </c>
      <c r="AS73" s="216"/>
      <c r="AT73" s="216"/>
      <c r="AU73" s="216"/>
    </row>
    <row r="74" spans="1:47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AR74" s="209" t="s">
        <v>278</v>
      </c>
      <c r="AS74" s="215"/>
      <c r="AT74" s="215"/>
      <c r="AU74" s="215"/>
    </row>
    <row r="75" spans="1:47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AR75" s="209" t="s">
        <v>279</v>
      </c>
      <c r="AS75" s="215"/>
      <c r="AT75" s="215"/>
      <c r="AU75" s="215"/>
    </row>
    <row r="76" spans="1:47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AR76" s="209" t="s">
        <v>280</v>
      </c>
      <c r="AS76" s="215"/>
      <c r="AT76" s="215"/>
      <c r="AU76" s="215"/>
    </row>
    <row r="77" spans="1:47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AR77" s="209" t="s">
        <v>281</v>
      </c>
      <c r="AS77" s="215"/>
      <c r="AT77" s="215"/>
      <c r="AU77" s="215"/>
    </row>
    <row r="78" spans="1:47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47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47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111">
        <f t="shared" ref="T146:AC146" si="7">SUM(T142:T145)</f>
        <v>0</v>
      </c>
      <c r="U146" s="111">
        <f t="shared" si="7"/>
        <v>0</v>
      </c>
      <c r="V146" s="111">
        <f t="shared" si="7"/>
        <v>0</v>
      </c>
      <c r="W146" s="111">
        <f t="shared" si="7"/>
        <v>0</v>
      </c>
      <c r="X146" s="111">
        <f t="shared" si="7"/>
        <v>0</v>
      </c>
      <c r="Y146" s="111">
        <f t="shared" si="7"/>
        <v>0</v>
      </c>
      <c r="Z146" s="111">
        <f t="shared" si="7"/>
        <v>0</v>
      </c>
      <c r="AA146" s="111">
        <f t="shared" si="7"/>
        <v>0</v>
      </c>
      <c r="AB146" s="111">
        <f t="shared" si="7"/>
        <v>0</v>
      </c>
      <c r="AC146" s="111">
        <f t="shared" si="7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111">
        <f>SUM(T148:T151)</f>
        <v>0</v>
      </c>
      <c r="U152" s="111">
        <f t="shared" ref="U152:AC152" si="8">SUM(U148:U151)</f>
        <v>0</v>
      </c>
      <c r="V152" s="111">
        <f t="shared" si="8"/>
        <v>0</v>
      </c>
      <c r="W152" s="111">
        <f t="shared" si="8"/>
        <v>0</v>
      </c>
      <c r="X152" s="111">
        <f t="shared" si="8"/>
        <v>0</v>
      </c>
      <c r="Y152" s="111">
        <f t="shared" si="8"/>
        <v>0</v>
      </c>
      <c r="Z152" s="111">
        <f t="shared" si="8"/>
        <v>0</v>
      </c>
      <c r="AA152" s="111">
        <f t="shared" si="8"/>
        <v>0</v>
      </c>
      <c r="AB152" s="111">
        <f t="shared" si="8"/>
        <v>0</v>
      </c>
      <c r="AC152" s="111">
        <f t="shared" si="8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267</v>
      </c>
      <c r="AO157" t="s">
        <v>810</v>
      </c>
    </row>
    <row r="158" spans="20:41" ht="24" hidden="1" customHeight="1" x14ac:dyDescent="0.15">
      <c r="T158" s="111">
        <f>SUM(T154:T157)</f>
        <v>0</v>
      </c>
      <c r="U158" s="111">
        <f t="shared" ref="U158:AC158" si="9">SUM(U154:U157)</f>
        <v>0</v>
      </c>
      <c r="V158" s="111">
        <f t="shared" si="9"/>
        <v>0</v>
      </c>
      <c r="W158" s="111">
        <f t="shared" si="9"/>
        <v>0</v>
      </c>
      <c r="X158" s="111">
        <f t="shared" si="9"/>
        <v>0</v>
      </c>
      <c r="Y158" s="111">
        <f t="shared" si="9"/>
        <v>0</v>
      </c>
      <c r="Z158" s="111">
        <f t="shared" si="9"/>
        <v>0</v>
      </c>
      <c r="AA158" s="111">
        <f t="shared" si="9"/>
        <v>0</v>
      </c>
      <c r="AB158" s="111">
        <f t="shared" si="9"/>
        <v>0</v>
      </c>
      <c r="AC158" s="111">
        <f t="shared" si="9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111">
        <f t="shared" ref="T164:AC164" si="10">SUM(T160:T163)</f>
        <v>0</v>
      </c>
      <c r="U164" s="111">
        <f t="shared" si="10"/>
        <v>0</v>
      </c>
      <c r="V164" s="111">
        <f t="shared" si="10"/>
        <v>0</v>
      </c>
      <c r="W164" s="111">
        <f t="shared" si="10"/>
        <v>0</v>
      </c>
      <c r="X164" s="111">
        <f t="shared" si="10"/>
        <v>0</v>
      </c>
      <c r="Y164" s="111">
        <f t="shared" si="10"/>
        <v>0</v>
      </c>
      <c r="Z164" s="111">
        <f t="shared" si="10"/>
        <v>0</v>
      </c>
      <c r="AA164" s="111">
        <f t="shared" si="10"/>
        <v>0</v>
      </c>
      <c r="AB164" s="111">
        <f t="shared" si="10"/>
        <v>0</v>
      </c>
      <c r="AC164" s="111">
        <f t="shared" si="10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73">
        <f>IF($K7="障子",T158,IF($K7="外付けブラインド",T164,T152))</f>
        <v>0</v>
      </c>
      <c r="U166" s="73">
        <f>IF($K8="障子",U158,IF($K8="外付けブラインド",U164,U152))</f>
        <v>0</v>
      </c>
      <c r="V166" s="73">
        <f>IF($K9="障子",V158,IF($K9="外付けブラインド",V164,V152))</f>
        <v>0</v>
      </c>
      <c r="W166" s="73">
        <f>IF($K10="障子",W158,IF($K10="外付けブラインド",W164,W152))</f>
        <v>0</v>
      </c>
      <c r="X166" s="73">
        <f>IF($K11="障子",X158,IF($K11="外付けブラインド",X164,X152))</f>
        <v>0</v>
      </c>
      <c r="Y166" s="73">
        <f>IF($K12="障子",Y158,IF($K12="外付けブラインド",Y164,Y152))</f>
        <v>0</v>
      </c>
      <c r="Z166" s="73">
        <f>IF($K13="障子",Z158,IF($K13="外付けブラインド",Z164,Z152))</f>
        <v>0</v>
      </c>
      <c r="AA166" s="73">
        <f>IF($K14="障子",AA158,IF($K14="外付けブラインド",AA164,AA152))</f>
        <v>0</v>
      </c>
      <c r="AB166" s="73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51" t="s">
        <v>846</v>
      </c>
      <c r="H172" t="s">
        <v>7</v>
      </c>
      <c r="J172" s="51" t="s">
        <v>847</v>
      </c>
      <c r="K172" s="51" t="s">
        <v>848</v>
      </c>
      <c r="L172" s="245" t="s">
        <v>849</v>
      </c>
      <c r="M172" s="51" t="s">
        <v>853</v>
      </c>
      <c r="N172" s="51" t="s">
        <v>850</v>
      </c>
      <c r="O172" s="51" t="s">
        <v>851</v>
      </c>
      <c r="P172" s="51" t="s">
        <v>852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L173" s="80" t="s">
        <v>787</v>
      </c>
      <c r="O173" s="118"/>
      <c r="Z173" s="116"/>
      <c r="AA173" s="58"/>
      <c r="AB173" s="75"/>
      <c r="AC173" s="75"/>
      <c r="AD173" s="75"/>
      <c r="AE173" s="75"/>
      <c r="AF173" s="75"/>
      <c r="AG173" s="75"/>
      <c r="AH173" s="75"/>
      <c r="AI173" s="75"/>
      <c r="AJ173" s="75"/>
    </row>
    <row r="174" spans="2:41" ht="24" hidden="1" customHeight="1" x14ac:dyDescent="0.15">
      <c r="B174" s="80" t="s">
        <v>788</v>
      </c>
      <c r="C174" s="115">
        <v>2.33</v>
      </c>
      <c r="G174" t="s">
        <v>330</v>
      </c>
      <c r="H174" s="111" t="e">
        <f>VLOOKUP(O23,$B$173:$C$187,2,0)</f>
        <v>#N/A</v>
      </c>
      <c r="L174" s="80" t="s">
        <v>788</v>
      </c>
      <c r="O174" s="118"/>
      <c r="Z174" s="116"/>
      <c r="AA174" s="58"/>
      <c r="AB174" s="75"/>
      <c r="AC174" s="75"/>
      <c r="AD174" s="75"/>
      <c r="AE174" s="75"/>
      <c r="AF174" s="75"/>
      <c r="AG174" s="75"/>
      <c r="AH174" s="75"/>
      <c r="AI174" s="75"/>
      <c r="AJ174" s="75"/>
    </row>
    <row r="175" spans="2:41" ht="24" hidden="1" customHeight="1" x14ac:dyDescent="0.15">
      <c r="B175" s="80" t="s">
        <v>794</v>
      </c>
      <c r="C175" s="115">
        <v>2.91</v>
      </c>
      <c r="L175" s="80" t="s">
        <v>794</v>
      </c>
      <c r="Z175" s="116"/>
      <c r="AA175" s="58"/>
      <c r="AB175" s="75"/>
      <c r="AC175" s="75"/>
      <c r="AD175" s="75"/>
      <c r="AE175" s="75"/>
      <c r="AF175" s="75"/>
      <c r="AG175" s="75"/>
      <c r="AH175" s="75"/>
      <c r="AI175" s="75"/>
      <c r="AJ175" s="75"/>
    </row>
    <row r="176" spans="2:41" ht="24" hidden="1" customHeight="1" x14ac:dyDescent="0.15">
      <c r="B176" s="80" t="s">
        <v>789</v>
      </c>
      <c r="C176" s="115">
        <v>2.91</v>
      </c>
      <c r="L176" s="80" t="s">
        <v>789</v>
      </c>
      <c r="Z176" s="116"/>
      <c r="AA176" s="58"/>
      <c r="AB176" s="75"/>
      <c r="AC176" s="75"/>
      <c r="AD176" s="75"/>
      <c r="AE176" s="75"/>
      <c r="AF176" s="75"/>
      <c r="AG176" s="75"/>
      <c r="AH176" s="75"/>
      <c r="AI176" s="75"/>
      <c r="AJ176" s="75"/>
    </row>
    <row r="177" spans="2:36" ht="24" hidden="1" customHeight="1" x14ac:dyDescent="0.15">
      <c r="B177" s="80" t="s">
        <v>791</v>
      </c>
      <c r="C177" s="115">
        <v>2.33</v>
      </c>
      <c r="L177" s="80" t="s">
        <v>791</v>
      </c>
      <c r="Z177" s="78"/>
      <c r="AA177" s="58"/>
      <c r="AB177" s="75"/>
      <c r="AC177" s="75"/>
      <c r="AD177" s="75"/>
      <c r="AE177" s="75"/>
      <c r="AF177" s="75"/>
      <c r="AG177" s="75"/>
      <c r="AH177" s="75"/>
      <c r="AI177" s="75"/>
      <c r="AJ177" s="75"/>
    </row>
    <row r="178" spans="2:36" ht="24" hidden="1" customHeight="1" x14ac:dyDescent="0.15">
      <c r="B178" s="80" t="s">
        <v>795</v>
      </c>
      <c r="C178" s="115">
        <v>1.75</v>
      </c>
      <c r="L178" s="80" t="s">
        <v>795</v>
      </c>
      <c r="Z178" s="78"/>
      <c r="AA178" s="58"/>
      <c r="AB178" s="75"/>
      <c r="AC178" s="75"/>
      <c r="AD178" s="75"/>
      <c r="AE178" s="75"/>
      <c r="AF178" s="75"/>
      <c r="AG178" s="75"/>
      <c r="AH178" s="75"/>
      <c r="AI178" s="75"/>
      <c r="AJ178" s="75"/>
    </row>
    <row r="179" spans="2:36" ht="24" hidden="1" customHeight="1" x14ac:dyDescent="0.15">
      <c r="B179" s="80" t="s">
        <v>796</v>
      </c>
      <c r="C179" s="115">
        <v>2.33</v>
      </c>
      <c r="L179" s="80" t="s">
        <v>796</v>
      </c>
      <c r="Z179" s="78"/>
      <c r="AA179" s="58"/>
      <c r="AB179" s="75"/>
      <c r="AC179" s="75"/>
      <c r="AD179" s="75"/>
      <c r="AE179" s="75"/>
      <c r="AF179" s="75"/>
      <c r="AG179" s="75"/>
      <c r="AH179" s="75"/>
      <c r="AI179" s="75"/>
      <c r="AJ179" s="75"/>
    </row>
    <row r="180" spans="2:36" ht="24" hidden="1" customHeight="1" x14ac:dyDescent="0.15">
      <c r="B180" s="80" t="s">
        <v>797</v>
      </c>
      <c r="C180" s="115">
        <v>2.91</v>
      </c>
      <c r="L180" s="80" t="s">
        <v>797</v>
      </c>
      <c r="Z180" s="78"/>
      <c r="AA180" s="58"/>
      <c r="AB180" s="75"/>
      <c r="AC180" s="75"/>
      <c r="AD180" s="75"/>
      <c r="AE180" s="75"/>
      <c r="AF180" s="75"/>
      <c r="AG180" s="75"/>
      <c r="AH180" s="75"/>
      <c r="AI180" s="75"/>
      <c r="AJ180" s="75"/>
    </row>
    <row r="181" spans="2:36" ht="24" hidden="1" customHeight="1" x14ac:dyDescent="0.15">
      <c r="B181" s="80" t="s">
        <v>798</v>
      </c>
      <c r="C181" s="115">
        <v>2.91</v>
      </c>
      <c r="L181" s="80" t="s">
        <v>798</v>
      </c>
      <c r="Z181" s="78"/>
      <c r="AA181" s="76"/>
      <c r="AB181" s="75"/>
      <c r="AC181" s="75"/>
      <c r="AD181" s="75"/>
      <c r="AE181" s="75"/>
      <c r="AF181" s="75"/>
      <c r="AG181" s="75"/>
      <c r="AH181" s="75"/>
      <c r="AI181" s="75"/>
      <c r="AJ181" s="75"/>
    </row>
    <row r="182" spans="2:36" ht="24" hidden="1" customHeight="1" x14ac:dyDescent="0.15">
      <c r="B182" s="80" t="s">
        <v>799</v>
      </c>
      <c r="C182" s="115">
        <v>2.33</v>
      </c>
      <c r="L182" s="80" t="s">
        <v>799</v>
      </c>
      <c r="Z182" s="78"/>
      <c r="AA182" s="58"/>
      <c r="AB182" s="75"/>
      <c r="AC182" s="75"/>
      <c r="AD182" s="75"/>
      <c r="AE182" s="75"/>
      <c r="AF182" s="75"/>
      <c r="AG182" s="75"/>
      <c r="AH182" s="75"/>
      <c r="AI182" s="75"/>
      <c r="AJ182" s="75"/>
    </row>
    <row r="183" spans="2:36" ht="24" hidden="1" customHeight="1" x14ac:dyDescent="0.15">
      <c r="B183" s="80" t="s">
        <v>801</v>
      </c>
      <c r="C183" s="115">
        <v>3.49</v>
      </c>
      <c r="L183" s="80" t="s">
        <v>801</v>
      </c>
      <c r="Z183" s="78"/>
      <c r="AA183" s="58"/>
      <c r="AB183" s="75"/>
      <c r="AC183" s="75"/>
      <c r="AD183" s="75"/>
      <c r="AE183" s="75"/>
      <c r="AF183" s="75"/>
      <c r="AG183" s="75"/>
      <c r="AH183" s="75"/>
      <c r="AI183" s="75"/>
      <c r="AJ183" s="75"/>
    </row>
    <row r="184" spans="2:36" ht="24" hidden="1" customHeight="1" x14ac:dyDescent="0.15">
      <c r="B184" s="80" t="s">
        <v>803</v>
      </c>
      <c r="C184" s="115">
        <v>3.49</v>
      </c>
      <c r="L184" s="80" t="s">
        <v>803</v>
      </c>
    </row>
    <row r="185" spans="2:36" ht="24" hidden="1" customHeight="1" x14ac:dyDescent="0.15">
      <c r="B185" s="80" t="s">
        <v>805</v>
      </c>
      <c r="C185" s="115">
        <v>4.6500000000000004</v>
      </c>
      <c r="L185" s="80" t="s">
        <v>805</v>
      </c>
    </row>
    <row r="186" spans="2:36" ht="24" hidden="1" customHeight="1" x14ac:dyDescent="0.15">
      <c r="B186" s="80" t="s">
        <v>806</v>
      </c>
      <c r="C186" s="115">
        <v>4.07</v>
      </c>
      <c r="L186" s="80" t="s">
        <v>806</v>
      </c>
    </row>
    <row r="187" spans="2:36" ht="24" hidden="1" customHeight="1" x14ac:dyDescent="0.15">
      <c r="B187" s="80" t="s">
        <v>808</v>
      </c>
      <c r="C187" s="115">
        <v>4.6500000000000004</v>
      </c>
      <c r="L187" s="80" t="s">
        <v>808</v>
      </c>
    </row>
  </sheetData>
  <sheetProtection algorithmName="SHA-512" hashValue="9ZhMbuvZR9bMZ90BslQm0bMhgBlVu/ccgHtQAt1geHxCkUl7ODDlNwaOQ0pd5UTcTBJDFxQqUSoftygI0PWDbA==" saltValue="gGZvtw9HqgyHoCnkvLwUPw==" spinCount="100000" sheet="1" objects="1" scenarios="1" selectLockedCells="1"/>
  <mergeCells count="242"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</mergeCells>
  <phoneticPr fontId="2"/>
  <conditionalFormatting sqref="U17:V17">
    <cfRule type="expression" dxfId="101" priority="18" stopIfTrue="1">
      <formula>$U$17=0</formula>
    </cfRule>
  </conditionalFormatting>
  <conditionalFormatting sqref="W17:X17">
    <cfRule type="expression" dxfId="100" priority="17" stopIfTrue="1">
      <formula>$W$17=0</formula>
    </cfRule>
  </conditionalFormatting>
  <conditionalFormatting sqref="Y17:Z17">
    <cfRule type="expression" dxfId="99" priority="16" stopIfTrue="1">
      <formula>$Y$17=0</formula>
    </cfRule>
  </conditionalFormatting>
  <conditionalFormatting sqref="U24:Z24">
    <cfRule type="expression" dxfId="98" priority="15" stopIfTrue="1">
      <formula>$U$24:$Z$24=0</formula>
    </cfRule>
  </conditionalFormatting>
  <conditionalFormatting sqref="U32:V32">
    <cfRule type="expression" dxfId="97" priority="14" stopIfTrue="1">
      <formula>$U$32:$V$32=0</formula>
    </cfRule>
  </conditionalFormatting>
  <conditionalFormatting sqref="X35:Y35">
    <cfRule type="expression" dxfId="96" priority="13" stopIfTrue="1">
      <formula>$X$35=0</formula>
    </cfRule>
  </conditionalFormatting>
  <conditionalFormatting sqref="P35:Q35">
    <cfRule type="expression" dxfId="95" priority="12" stopIfTrue="1">
      <formula>$P$35=0</formula>
    </cfRule>
  </conditionalFormatting>
  <conditionalFormatting sqref="T35:U35">
    <cfRule type="expression" dxfId="94" priority="11" stopIfTrue="1">
      <formula>$T$35=0</formula>
    </cfRule>
  </conditionalFormatting>
  <conditionalFormatting sqref="K35:M35">
    <cfRule type="expression" dxfId="93" priority="10" stopIfTrue="1">
      <formula>$K$35=0</formula>
    </cfRule>
  </conditionalFormatting>
  <conditionalFormatting sqref="W7:X7">
    <cfRule type="expression" dxfId="92" priority="8" stopIfTrue="1">
      <formula>#VALUE!</formula>
    </cfRule>
    <cfRule type="expression" dxfId="91" priority="9" stopIfTrue="1">
      <formula>#VALUE!</formula>
    </cfRule>
  </conditionalFormatting>
  <conditionalFormatting sqref="W16:X16">
    <cfRule type="expression" dxfId="90" priority="7" stopIfTrue="1">
      <formula>#VALUE!</formula>
    </cfRule>
  </conditionalFormatting>
  <conditionalFormatting sqref="O7:T16">
    <cfRule type="expression" dxfId="89" priority="6" stopIfTrue="1">
      <formula>$AF7=TRUE</formula>
    </cfRule>
  </conditionalFormatting>
  <conditionalFormatting sqref="W7:X7">
    <cfRule type="expression" dxfId="88" priority="4" stopIfTrue="1">
      <formula>#VALUE!</formula>
    </cfRule>
    <cfRule type="expression" dxfId="87" priority="5" stopIfTrue="1">
      <formula>#VALUE!</formula>
    </cfRule>
  </conditionalFormatting>
  <conditionalFormatting sqref="W16:X16">
    <cfRule type="expression" dxfId="86" priority="3" stopIfTrue="1">
      <formula>#VALUE!</formula>
    </cfRule>
  </conditionalFormatting>
  <conditionalFormatting sqref="W32:X32">
    <cfRule type="expression" dxfId="85" priority="2" stopIfTrue="1">
      <formula>$W$32:$X$32=0</formula>
    </cfRule>
  </conditionalFormatting>
  <conditionalFormatting sqref="Y32:Z32">
    <cfRule type="expression" dxfId="84" priority="1" stopIfTrue="1">
      <formula>$Y$32:$Z$32=0</formula>
    </cfRule>
  </conditionalFormatting>
  <dataValidations count="6">
    <dataValidation type="list" allowBlank="1" showInputMessage="1" showErrorMessage="1" sqref="S22:T23" xr:uid="{00000000-0002-0000-0700-000000000000}">
      <formula1>"あり,なし"</formula1>
    </dataValidation>
    <dataValidation type="list" allowBlank="1" showInputMessage="1" showErrorMessage="1" sqref="K7:L16" xr:uid="{00000000-0002-0000-0700-000001000000}">
      <formula1>"　,雨戸,ｼｬｯﾀｰ,障子,風除室,外付けブラインド"</formula1>
    </dataValidation>
    <dataValidation type="list" allowBlank="1" showInputMessage="1" showErrorMessage="1" sqref="I29:I31" xr:uid="{00000000-0002-0000-0700-000002000000}">
      <formula1>"W-1,W-2,W-3"</formula1>
    </dataValidation>
    <dataValidation type="list" allowBlank="1" showInputMessage="1" showErrorMessage="1" sqref="G7:H16" xr:uid="{00000000-0002-0000-0700-000003000000}">
      <formula1>建具の仕様_南東</formula1>
    </dataValidation>
    <dataValidation type="list" allowBlank="1" showInputMessage="1" showErrorMessage="1" sqref="I7:J16" xr:uid="{00000000-0002-0000-0700-000004000000}">
      <formula1>INDIRECT(G7)</formula1>
    </dataValidation>
    <dataValidation type="list" allowBlank="1" showInputMessage="1" showErrorMessage="1" sqref="O22:R23" xr:uid="{00000000-0002-0000-0700-000005000000}">
      <formula1>建具の構成_南東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7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8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9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0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6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7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8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187"/>
  <sheetViews>
    <sheetView view="pageBreakPreview" zoomScaleNormal="100" zoomScaleSheetLayoutView="100" workbookViewId="0">
      <selection activeCell="A7" sqref="A7:B7"/>
    </sheetView>
  </sheetViews>
  <sheetFormatPr defaultRowHeight="13.5" x14ac:dyDescent="0.15"/>
  <cols>
    <col min="1" max="6" width="3.875" customWidth="1"/>
    <col min="7" max="10" width="5.625" customWidth="1"/>
    <col min="11" max="12" width="3.875" customWidth="1"/>
    <col min="13" max="14" width="4.125" customWidth="1"/>
    <col min="15" max="16" width="4.5" customWidth="1"/>
    <col min="17" max="18" width="4.625" customWidth="1"/>
    <col min="19" max="20" width="4.5" customWidth="1"/>
    <col min="21" max="26" width="4.125" customWidth="1"/>
    <col min="27" max="28" width="3.875" customWidth="1"/>
    <col min="29" max="30" width="10.625" hidden="1" customWidth="1"/>
    <col min="31" max="31" width="2.625" hidden="1" customWidth="1"/>
    <col min="32" max="34" width="10.625" hidden="1" customWidth="1"/>
    <col min="35" max="35" width="2.625" hidden="1" customWidth="1"/>
    <col min="36" max="37" width="15.625" hidden="1" customWidth="1"/>
    <col min="38" max="38" width="2.625" hidden="1" customWidth="1"/>
    <col min="39" max="40" width="10.625" hidden="1" customWidth="1"/>
    <col min="41" max="42" width="3.625" customWidth="1"/>
    <col min="43" max="54" width="4.5" customWidth="1"/>
  </cols>
  <sheetData>
    <row r="1" spans="1:53" s="1" customFormat="1" ht="30" customHeight="1" x14ac:dyDescent="0.15">
      <c r="A1" s="492" t="s">
        <v>341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</row>
    <row r="2" spans="1:53" s="2" customFormat="1" ht="10.5" customHeight="1" thickBot="1" x14ac:dyDescent="0.2"/>
    <row r="3" spans="1:53" s="2" customFormat="1" ht="21.95" customHeight="1" thickBot="1" x14ac:dyDescent="0.2">
      <c r="A3" s="4" t="s">
        <v>5</v>
      </c>
      <c r="Q3" s="493" t="s">
        <v>33</v>
      </c>
      <c r="R3" s="494"/>
      <c r="S3" s="494"/>
      <c r="T3" s="495"/>
      <c r="U3" s="494" t="b">
        <f>IF(共通条件・結果!Z6="８地域","0.480",IF(共通条件・結果!Z6="７地域",0.412,IF(共通条件・結果!Z6="６地域",0.434,IF(共通条件・結果!Z6="５地域",0.472,IF(共通条件・結果!Z6="４地域",0.437,IF(共通条件・結果!Z6="３地域",0.476,IF(共通条件・結果!Z6="２地域",0.507,IF(共通条件・結果!Z6="１地域",0.502))))))))</f>
        <v>0</v>
      </c>
      <c r="V3" s="495"/>
      <c r="W3" s="494" t="b">
        <f>IF(共通条件・結果!Z6="８地域","-",IF(共通条件・結果!Z6="７地域",1.023,IF(共通条件・結果!Z6="６地域",0.936,IF(共通条件・結果!Z6="５地域",0.983,IF(共通条件・結果!Z6="４地域",0.815,IF(共通条件・結果!Z6="３地域",0.851,IF(共通条件・結果!Z6="２地域",0.856,IF(共通条件・結果!Z6="１地域",0.935))))))))</f>
        <v>0</v>
      </c>
      <c r="X3" s="495"/>
    </row>
    <row r="4" spans="1:53" s="2" customFormat="1" ht="21.95" customHeight="1" x14ac:dyDescent="0.15">
      <c r="A4" s="500" t="s">
        <v>6</v>
      </c>
      <c r="B4" s="381"/>
      <c r="C4" s="381" t="s">
        <v>85</v>
      </c>
      <c r="D4" s="381"/>
      <c r="E4" s="381"/>
      <c r="F4" s="381"/>
      <c r="G4" s="519" t="s">
        <v>155</v>
      </c>
      <c r="H4" s="520"/>
      <c r="I4" s="519" t="s">
        <v>154</v>
      </c>
      <c r="J4" s="520"/>
      <c r="K4" s="380" t="s">
        <v>10</v>
      </c>
      <c r="L4" s="381"/>
      <c r="M4" s="503" t="s">
        <v>68</v>
      </c>
      <c r="N4" s="504"/>
      <c r="O4" s="504"/>
      <c r="P4" s="504"/>
      <c r="Q4" s="504"/>
      <c r="R4" s="504"/>
      <c r="S4" s="504"/>
      <c r="T4" s="504"/>
      <c r="U4" s="380" t="s">
        <v>63</v>
      </c>
      <c r="V4" s="381"/>
      <c r="W4" s="380" t="s">
        <v>64</v>
      </c>
      <c r="X4" s="381"/>
      <c r="Y4" s="381" t="s">
        <v>13</v>
      </c>
      <c r="Z4" s="390"/>
    </row>
    <row r="5" spans="1:53" s="2" customFormat="1" ht="21.95" customHeight="1" x14ac:dyDescent="0.15">
      <c r="A5" s="501"/>
      <c r="B5" s="436"/>
      <c r="C5" s="515" t="s">
        <v>9</v>
      </c>
      <c r="D5" s="516"/>
      <c r="E5" s="524" t="s">
        <v>8</v>
      </c>
      <c r="F5" s="525"/>
      <c r="G5" s="521"/>
      <c r="H5" s="522"/>
      <c r="I5" s="521"/>
      <c r="J5" s="522"/>
      <c r="K5" s="435"/>
      <c r="L5" s="436"/>
      <c r="M5" s="505" t="s">
        <v>66</v>
      </c>
      <c r="N5" s="506"/>
      <c r="O5" s="526" t="s">
        <v>67</v>
      </c>
      <c r="P5" s="527"/>
      <c r="Q5" s="527"/>
      <c r="R5" s="527"/>
      <c r="S5" s="527"/>
      <c r="T5" s="528"/>
      <c r="U5" s="435"/>
      <c r="V5" s="436"/>
      <c r="W5" s="435"/>
      <c r="X5" s="436"/>
      <c r="Y5" s="436"/>
      <c r="Z5" s="529"/>
      <c r="AC5" s="351" t="s">
        <v>71</v>
      </c>
      <c r="AD5" s="351"/>
      <c r="AE5" s="30"/>
      <c r="AF5" s="30"/>
      <c r="AG5" s="351" t="s">
        <v>14</v>
      </c>
      <c r="AH5" s="351"/>
      <c r="AI5" s="30"/>
      <c r="AJ5" s="351" t="s">
        <v>72</v>
      </c>
      <c r="AK5" s="351"/>
      <c r="AM5" s="351" t="s">
        <v>83</v>
      </c>
      <c r="AN5" s="351"/>
    </row>
    <row r="6" spans="1:53" s="2" customFormat="1" ht="21.95" customHeight="1" thickBot="1" x14ac:dyDescent="0.2">
      <c r="A6" s="502"/>
      <c r="B6" s="382"/>
      <c r="C6" s="517"/>
      <c r="D6" s="518"/>
      <c r="E6" s="285"/>
      <c r="F6" s="433"/>
      <c r="G6" s="507"/>
      <c r="H6" s="523"/>
      <c r="I6" s="507"/>
      <c r="J6" s="523"/>
      <c r="K6" s="382"/>
      <c r="L6" s="382"/>
      <c r="M6" s="507"/>
      <c r="N6" s="508"/>
      <c r="O6" s="433" t="s">
        <v>11</v>
      </c>
      <c r="P6" s="434"/>
      <c r="Q6" s="513" t="s">
        <v>12</v>
      </c>
      <c r="R6" s="514"/>
      <c r="S6" s="433" t="s">
        <v>3</v>
      </c>
      <c r="T6" s="434"/>
      <c r="U6" s="382"/>
      <c r="V6" s="382"/>
      <c r="W6" s="382"/>
      <c r="X6" s="382"/>
      <c r="Y6" s="382"/>
      <c r="Z6" s="391"/>
      <c r="AC6" s="30" t="s">
        <v>4</v>
      </c>
      <c r="AD6" s="30" t="s">
        <v>15</v>
      </c>
      <c r="AE6" s="30"/>
      <c r="AF6" s="30"/>
      <c r="AG6" s="30" t="s">
        <v>4</v>
      </c>
      <c r="AH6" s="30" t="s">
        <v>15</v>
      </c>
      <c r="AI6" s="30"/>
      <c r="AJ6" s="30" t="s">
        <v>4</v>
      </c>
      <c r="AK6" s="30" t="s">
        <v>15</v>
      </c>
      <c r="AM6" s="2" t="s">
        <v>81</v>
      </c>
      <c r="AN6" s="2" t="s">
        <v>79</v>
      </c>
      <c r="AW6" s="80"/>
      <c r="BA6" s="80"/>
    </row>
    <row r="7" spans="1:53" s="2" customFormat="1" ht="34.5" customHeight="1" x14ac:dyDescent="0.15">
      <c r="A7" s="490"/>
      <c r="B7" s="539"/>
      <c r="C7" s="394"/>
      <c r="D7" s="540"/>
      <c r="E7" s="541"/>
      <c r="F7" s="395"/>
      <c r="G7" s="429"/>
      <c r="H7" s="430"/>
      <c r="I7" s="431"/>
      <c r="J7" s="432"/>
      <c r="K7" s="542"/>
      <c r="L7" s="543"/>
      <c r="M7" s="511"/>
      <c r="N7" s="512"/>
      <c r="O7" s="530"/>
      <c r="P7" s="531"/>
      <c r="Q7" s="509"/>
      <c r="R7" s="510"/>
      <c r="S7" s="530"/>
      <c r="T7" s="531"/>
      <c r="U7" s="352" t="str">
        <f t="shared" ref="U7:U16" si="0">IF(C7="","",AC7)</f>
        <v/>
      </c>
      <c r="V7" s="352"/>
      <c r="W7" s="352" t="str">
        <f>IF(C7="","",IF(ISERROR(AD7),#VALUE!,AD7))</f>
        <v/>
      </c>
      <c r="X7" s="352"/>
      <c r="Y7" s="352" t="str">
        <f t="shared" ref="Y7:Y16" si="1">IF(C7="","",C7*E7*AM7)</f>
        <v/>
      </c>
      <c r="Z7" s="353"/>
      <c r="AC7" s="2" t="e">
        <f>C7*E7*T166*$U$3*AG7</f>
        <v>#VALUE!</v>
      </c>
      <c r="AD7" s="2" t="e">
        <f>C7*E7*T166*$W$3*AH7</f>
        <v>#VALUE!</v>
      </c>
      <c r="AF7" s="32" t="b">
        <v>0</v>
      </c>
      <c r="AG7" s="2" t="str">
        <f>IF(AF7=TRUE,"0.93",IF(ISERROR(AJ7),"エラー",IF(AJ7&gt;0.93,"0.93",AJ7)))</f>
        <v>エラー</v>
      </c>
      <c r="AH7" s="2" t="str">
        <f>IF(AF7=TRUE,"0.51",IF(ISERROR(AK7),"エラー",IF(AK7&gt;0.72,"0.72",AK7)))</f>
        <v>エラー</v>
      </c>
      <c r="AJ7" s="2" t="e">
        <f>IF(共通条件・結果!$Z$6="８（Ⅵ）",0.01*(16+19*(2*Q7+S7)/O7),0.01*(24+9*(3*Q7+S7)/O7))</f>
        <v>#DIV/0!</v>
      </c>
      <c r="AK7" s="2" t="e">
        <f>0.01*(5+20*(3*Q7+S7)/O7)</f>
        <v>#DIV/0!</v>
      </c>
      <c r="AM7" s="2">
        <f>IF(共通条件・結果!$Z$6="８地域",T146,IF(AN7="FALSE",T146,IF(K7="風除室",1/((1/T146)+0.1),0.5*T146+0.5*(1/((1/T146)+AN7)))))</f>
        <v>0</v>
      </c>
      <c r="AN7" s="30" t="str">
        <f t="shared" ref="AN7:AN16" si="2">IF(K7="","FALSE",IF(K7="雨戸",0.1,IF(K7="ｼｬｯﾀｰ",0.1,IF(K7="障子",0.18,IF(K7="風除室",0.1)))))</f>
        <v>FALSE</v>
      </c>
      <c r="AW7" s="80"/>
      <c r="BA7" s="80"/>
    </row>
    <row r="8" spans="1:53" s="2" customFormat="1" ht="34.5" customHeight="1" x14ac:dyDescent="0.15">
      <c r="A8" s="459"/>
      <c r="B8" s="534"/>
      <c r="C8" s="415"/>
      <c r="D8" s="535"/>
      <c r="E8" s="536"/>
      <c r="F8" s="416"/>
      <c r="G8" s="486"/>
      <c r="H8" s="487"/>
      <c r="I8" s="486"/>
      <c r="J8" s="487"/>
      <c r="K8" s="537"/>
      <c r="L8" s="538"/>
      <c r="M8" s="488"/>
      <c r="N8" s="489"/>
      <c r="O8" s="425"/>
      <c r="P8" s="426"/>
      <c r="Q8" s="427"/>
      <c r="R8" s="428"/>
      <c r="S8" s="425"/>
      <c r="T8" s="426"/>
      <c r="U8" s="354" t="str">
        <f t="shared" si="0"/>
        <v/>
      </c>
      <c r="V8" s="354"/>
      <c r="W8" s="354" t="str">
        <f t="shared" ref="W8:W16" si="3">IF(C8="","",IF(ISERROR(AD8),#VALUE!,AD8))</f>
        <v/>
      </c>
      <c r="X8" s="354"/>
      <c r="Y8" s="354" t="str">
        <f t="shared" si="1"/>
        <v/>
      </c>
      <c r="Z8" s="355"/>
      <c r="AC8" s="2" t="e">
        <f>C8*E8*U166*$U$3*AG8</f>
        <v>#VALUE!</v>
      </c>
      <c r="AD8" s="2" t="e">
        <f>C8*E8*U166*$W$3*AH8</f>
        <v>#VALUE!</v>
      </c>
      <c r="AF8" s="32" t="b">
        <v>0</v>
      </c>
      <c r="AG8" s="2" t="str">
        <f t="shared" ref="AG8:AG16" si="4">IF(AF8=TRUE,"0.93",IF(ISERROR(AJ8),"エラー",IF(AJ8&gt;0.93,"0.93",AJ8)))</f>
        <v>エラー</v>
      </c>
      <c r="AH8" s="2" t="str">
        <f t="shared" ref="AH8:AH16" si="5">IF(AF8=TRUE,"0.51",IF(ISERROR(AK8),"エラー",IF(AK8&gt;0.72,"0.72",AK8)))</f>
        <v>エラー</v>
      </c>
      <c r="AJ8" s="2" t="e">
        <f>IF(共通条件・結果!$Z$6="８（Ⅵ）",0.01*(16+19*(2*Q8+S8)/O8),0.01*(24+9*(3*Q8+S8)/O8))</f>
        <v>#DIV/0!</v>
      </c>
      <c r="AK8" s="2" t="e">
        <f t="shared" ref="AK8:AK15" si="6">0.01*(5+20*(3*Q8+S8)/O8)</f>
        <v>#DIV/0!</v>
      </c>
      <c r="AM8" s="2">
        <f>IF(共通条件・結果!$Z$6="８地域",U146,IF(AN8="FALSE",U146,IF(K8="風除室",1/((1/U146)+0.1),0.5*U146+0.5*(1/((1/U146)+AN8)))))</f>
        <v>0</v>
      </c>
      <c r="AN8" s="30" t="str">
        <f t="shared" si="2"/>
        <v>FALSE</v>
      </c>
      <c r="AW8" s="80"/>
      <c r="BA8" s="80"/>
    </row>
    <row r="9" spans="1:53" s="2" customFormat="1" ht="34.5" customHeight="1" x14ac:dyDescent="0.15">
      <c r="A9" s="459"/>
      <c r="B9" s="534"/>
      <c r="C9" s="415"/>
      <c r="D9" s="535"/>
      <c r="E9" s="536"/>
      <c r="F9" s="416"/>
      <c r="G9" s="486"/>
      <c r="H9" s="487"/>
      <c r="I9" s="486"/>
      <c r="J9" s="487"/>
      <c r="K9" s="537"/>
      <c r="L9" s="538"/>
      <c r="M9" s="488"/>
      <c r="N9" s="489"/>
      <c r="O9" s="425"/>
      <c r="P9" s="426"/>
      <c r="Q9" s="427"/>
      <c r="R9" s="428"/>
      <c r="S9" s="425"/>
      <c r="T9" s="426"/>
      <c r="U9" s="354" t="str">
        <f t="shared" si="0"/>
        <v/>
      </c>
      <c r="V9" s="354"/>
      <c r="W9" s="354" t="str">
        <f t="shared" si="3"/>
        <v/>
      </c>
      <c r="X9" s="354"/>
      <c r="Y9" s="354" t="str">
        <f t="shared" si="1"/>
        <v/>
      </c>
      <c r="Z9" s="355"/>
      <c r="AC9" s="2" t="e">
        <f>C9*E9*V166*$U$3*AG9</f>
        <v>#VALUE!</v>
      </c>
      <c r="AD9" s="2" t="e">
        <f>C9*E9*V166*$W$3*AH9</f>
        <v>#VALUE!</v>
      </c>
      <c r="AF9" s="32" t="b">
        <v>0</v>
      </c>
      <c r="AG9" s="2" t="str">
        <f t="shared" si="4"/>
        <v>エラー</v>
      </c>
      <c r="AH9" s="2" t="str">
        <f t="shared" si="5"/>
        <v>エラー</v>
      </c>
      <c r="AJ9" s="2" t="e">
        <f>IF(共通条件・結果!$Z$6="８（Ⅵ）",0.01*(16+19*(2*Q9+S9)/O9),0.01*(24+9*(3*Q9+S9)/O9))</f>
        <v>#DIV/0!</v>
      </c>
      <c r="AK9" s="2" t="e">
        <f t="shared" si="6"/>
        <v>#DIV/0!</v>
      </c>
      <c r="AM9" s="2">
        <f>IF(共通条件・結果!$Z$6="８地域",V146,IF(AN9="FALSE",V146,IF(K9="風除室",1/((1/V146)+0.1),0.5*V146+0.5*(1/((1/V146)+AN9)))))</f>
        <v>0</v>
      </c>
      <c r="AN9" s="30" t="str">
        <f t="shared" si="2"/>
        <v>FALSE</v>
      </c>
      <c r="AW9" s="80"/>
      <c r="BA9" s="80"/>
    </row>
    <row r="10" spans="1:53" s="2" customFormat="1" ht="34.5" customHeight="1" x14ac:dyDescent="0.15">
      <c r="A10" s="459"/>
      <c r="B10" s="534"/>
      <c r="C10" s="415"/>
      <c r="D10" s="535"/>
      <c r="E10" s="536"/>
      <c r="F10" s="416"/>
      <c r="G10" s="486"/>
      <c r="H10" s="487"/>
      <c r="I10" s="486"/>
      <c r="J10" s="487"/>
      <c r="K10" s="537"/>
      <c r="L10" s="538"/>
      <c r="M10" s="488"/>
      <c r="N10" s="489"/>
      <c r="O10" s="425"/>
      <c r="P10" s="426"/>
      <c r="Q10" s="427"/>
      <c r="R10" s="428"/>
      <c r="S10" s="425"/>
      <c r="T10" s="426"/>
      <c r="U10" s="354" t="str">
        <f t="shared" si="0"/>
        <v/>
      </c>
      <c r="V10" s="354"/>
      <c r="W10" s="354" t="str">
        <f t="shared" si="3"/>
        <v/>
      </c>
      <c r="X10" s="354"/>
      <c r="Y10" s="354" t="str">
        <f t="shared" si="1"/>
        <v/>
      </c>
      <c r="Z10" s="355"/>
      <c r="AC10" s="2" t="e">
        <f>C10*E10*W166*$U$3*AG10</f>
        <v>#VALUE!</v>
      </c>
      <c r="AD10" s="2" t="e">
        <f>C10*E10*W166*$W$3*AH10</f>
        <v>#VALUE!</v>
      </c>
      <c r="AF10" s="32" t="b">
        <v>0</v>
      </c>
      <c r="AG10" s="2" t="str">
        <f t="shared" si="4"/>
        <v>エラー</v>
      </c>
      <c r="AH10" s="2" t="str">
        <f t="shared" si="5"/>
        <v>エラー</v>
      </c>
      <c r="AJ10" s="2" t="e">
        <f>IF(共通条件・結果!$Z$6="８（Ⅵ）",0.01*(16+19*(2*Q10+S10)/O10),0.01*(24+9*(3*Q10+S10)/O10))</f>
        <v>#DIV/0!</v>
      </c>
      <c r="AK10" s="2" t="e">
        <f t="shared" si="6"/>
        <v>#DIV/0!</v>
      </c>
      <c r="AM10" s="2">
        <f>IF(共通条件・結果!$Z$6="８地域",W146,IF(AN10="FALSE",W146,IF(K10="風除室",1/((1/W146)+0.1),0.5*W146+0.5*(1/((1/W146)+AN10)))))</f>
        <v>0</v>
      </c>
      <c r="AN10" s="30" t="str">
        <f t="shared" si="2"/>
        <v>FALSE</v>
      </c>
      <c r="AW10" s="80"/>
      <c r="BA10" s="80"/>
    </row>
    <row r="11" spans="1:53" s="2" customFormat="1" ht="34.5" customHeight="1" x14ac:dyDescent="0.15">
      <c r="A11" s="459"/>
      <c r="B11" s="534"/>
      <c r="C11" s="415"/>
      <c r="D11" s="535"/>
      <c r="E11" s="536"/>
      <c r="F11" s="416"/>
      <c r="G11" s="486"/>
      <c r="H11" s="487"/>
      <c r="I11" s="486"/>
      <c r="J11" s="487"/>
      <c r="K11" s="537"/>
      <c r="L11" s="538"/>
      <c r="M11" s="488"/>
      <c r="N11" s="489"/>
      <c r="O11" s="425"/>
      <c r="P11" s="426"/>
      <c r="Q11" s="427"/>
      <c r="R11" s="428"/>
      <c r="S11" s="425"/>
      <c r="T11" s="426"/>
      <c r="U11" s="354" t="str">
        <f t="shared" si="0"/>
        <v/>
      </c>
      <c r="V11" s="354"/>
      <c r="W11" s="354" t="str">
        <f t="shared" si="3"/>
        <v/>
      </c>
      <c r="X11" s="354"/>
      <c r="Y11" s="354" t="str">
        <f t="shared" si="1"/>
        <v/>
      </c>
      <c r="Z11" s="355"/>
      <c r="AC11" s="2" t="e">
        <f>C11*E11*X166*$U$3*AG11</f>
        <v>#VALUE!</v>
      </c>
      <c r="AD11" s="2" t="e">
        <f>C11*E11*X166*$W$3*AH11</f>
        <v>#VALUE!</v>
      </c>
      <c r="AF11" s="32" t="b">
        <v>0</v>
      </c>
      <c r="AG11" s="2" t="str">
        <f t="shared" si="4"/>
        <v>エラー</v>
      </c>
      <c r="AH11" s="2" t="str">
        <f t="shared" si="5"/>
        <v>エラー</v>
      </c>
      <c r="AJ11" s="2" t="e">
        <f>IF(共通条件・結果!$Z$6="８（Ⅵ）",0.01*(16+19*(2*Q11+S11)/O11),0.01*(24+9*(3*Q11+S11)/O11))</f>
        <v>#DIV/0!</v>
      </c>
      <c r="AK11" s="2" t="e">
        <f t="shared" si="6"/>
        <v>#DIV/0!</v>
      </c>
      <c r="AM11" s="2">
        <f>IF(共通条件・結果!$Z$6="８地域",X146,IF(AN11="FALSE",X146,IF(K11="風除室",1/((1/X146)+0.1),0.5*X146+0.5*(1/((1/X146)+AN11)))))</f>
        <v>0</v>
      </c>
      <c r="AN11" s="30" t="str">
        <f t="shared" si="2"/>
        <v>FALSE</v>
      </c>
      <c r="AW11" s="80"/>
      <c r="BA11" s="80"/>
    </row>
    <row r="12" spans="1:53" s="2" customFormat="1" ht="34.5" customHeight="1" x14ac:dyDescent="0.15">
      <c r="A12" s="459"/>
      <c r="B12" s="534"/>
      <c r="C12" s="415"/>
      <c r="D12" s="535"/>
      <c r="E12" s="536"/>
      <c r="F12" s="416"/>
      <c r="G12" s="486"/>
      <c r="H12" s="487"/>
      <c r="I12" s="486"/>
      <c r="J12" s="487"/>
      <c r="K12" s="537"/>
      <c r="L12" s="538"/>
      <c r="M12" s="488"/>
      <c r="N12" s="489"/>
      <c r="O12" s="425"/>
      <c r="P12" s="426"/>
      <c r="Q12" s="427"/>
      <c r="R12" s="428"/>
      <c r="S12" s="425"/>
      <c r="T12" s="426"/>
      <c r="U12" s="376" t="str">
        <f t="shared" si="0"/>
        <v/>
      </c>
      <c r="V12" s="377"/>
      <c r="W12" s="354" t="str">
        <f t="shared" si="3"/>
        <v/>
      </c>
      <c r="X12" s="354"/>
      <c r="Y12" s="354" t="str">
        <f t="shared" si="1"/>
        <v/>
      </c>
      <c r="Z12" s="355"/>
      <c r="AC12" s="2" t="e">
        <f>C12*E12*Y166*$U$3*AG12</f>
        <v>#VALUE!</v>
      </c>
      <c r="AD12" s="2" t="e">
        <f>C12*E12*Y166*$W$3*AH12</f>
        <v>#VALUE!</v>
      </c>
      <c r="AF12" s="32" t="b">
        <v>0</v>
      </c>
      <c r="AG12" s="2" t="str">
        <f t="shared" si="4"/>
        <v>エラー</v>
      </c>
      <c r="AH12" s="2" t="str">
        <f t="shared" si="5"/>
        <v>エラー</v>
      </c>
      <c r="AJ12" s="2" t="e">
        <f>IF(共通条件・結果!$Z$6="８（Ⅵ）",0.01*(16+19*(2*Q12+S12)/O12),0.01*(24+9*(3*Q12+S12)/O12))</f>
        <v>#DIV/0!</v>
      </c>
      <c r="AK12" s="2" t="e">
        <f t="shared" si="6"/>
        <v>#DIV/0!</v>
      </c>
      <c r="AM12" s="2">
        <f>IF(共通条件・結果!$Z$6="８地域",Y146,IF(AN12="FALSE",Y146,IF(K12="風除室",1/((1/Y146)+0.1),0.5*Y146+0.5*(1/((1/Y146)+AN12)))))</f>
        <v>0</v>
      </c>
      <c r="AN12" s="30" t="str">
        <f t="shared" si="2"/>
        <v>FALSE</v>
      </c>
      <c r="AW12" s="80"/>
      <c r="BA12" s="80"/>
    </row>
    <row r="13" spans="1:53" s="2" customFormat="1" ht="34.5" customHeight="1" x14ac:dyDescent="0.15">
      <c r="A13" s="459"/>
      <c r="B13" s="534"/>
      <c r="C13" s="415"/>
      <c r="D13" s="535"/>
      <c r="E13" s="536"/>
      <c r="F13" s="416"/>
      <c r="G13" s="486"/>
      <c r="H13" s="487"/>
      <c r="I13" s="486"/>
      <c r="J13" s="487"/>
      <c r="K13" s="537"/>
      <c r="L13" s="538"/>
      <c r="M13" s="488"/>
      <c r="N13" s="489"/>
      <c r="O13" s="425"/>
      <c r="P13" s="426"/>
      <c r="Q13" s="427"/>
      <c r="R13" s="428"/>
      <c r="S13" s="425"/>
      <c r="T13" s="426"/>
      <c r="U13" s="376" t="str">
        <f t="shared" si="0"/>
        <v/>
      </c>
      <c r="V13" s="377"/>
      <c r="W13" s="354" t="str">
        <f t="shared" si="3"/>
        <v/>
      </c>
      <c r="X13" s="354"/>
      <c r="Y13" s="354" t="str">
        <f t="shared" si="1"/>
        <v/>
      </c>
      <c r="Z13" s="355"/>
      <c r="AC13" s="2" t="e">
        <f>C13*E13*Z166*$U$3*AG13</f>
        <v>#VALUE!</v>
      </c>
      <c r="AD13" s="2" t="e">
        <f>C13*E13*Z166*$W$3*AH13</f>
        <v>#VALUE!</v>
      </c>
      <c r="AF13" s="32" t="b">
        <v>0</v>
      </c>
      <c r="AG13" s="2" t="str">
        <f t="shared" si="4"/>
        <v>エラー</v>
      </c>
      <c r="AH13" s="2" t="str">
        <f t="shared" si="5"/>
        <v>エラー</v>
      </c>
      <c r="AJ13" s="2" t="e">
        <f>IF(共通条件・結果!$Z$6="８（Ⅵ）",0.01*(16+19*(2*Q13+S13)/O13),0.01*(24+9*(3*Q13+S13)/O13))</f>
        <v>#DIV/0!</v>
      </c>
      <c r="AK13" s="2" t="e">
        <f t="shared" si="6"/>
        <v>#DIV/0!</v>
      </c>
      <c r="AM13" s="2">
        <f>IF(共通条件・結果!$Z$6="８地域",Z146,IF(AN13="FALSE",Z146,IF(K13="風除室",1/((1/Z146)+0.1),0.5*Z146+0.5*(1/((1/Z146)+AN13)))))</f>
        <v>0</v>
      </c>
      <c r="AN13" s="30" t="str">
        <f t="shared" si="2"/>
        <v>FALSE</v>
      </c>
      <c r="AW13" s="80"/>
      <c r="BA13" s="80"/>
    </row>
    <row r="14" spans="1:53" s="2" customFormat="1" ht="34.5" customHeight="1" x14ac:dyDescent="0.15">
      <c r="A14" s="459"/>
      <c r="B14" s="534"/>
      <c r="C14" s="415"/>
      <c r="D14" s="535"/>
      <c r="E14" s="536"/>
      <c r="F14" s="416"/>
      <c r="G14" s="486"/>
      <c r="H14" s="487"/>
      <c r="I14" s="486"/>
      <c r="J14" s="487"/>
      <c r="K14" s="537"/>
      <c r="L14" s="538"/>
      <c r="M14" s="488"/>
      <c r="N14" s="489"/>
      <c r="O14" s="425"/>
      <c r="P14" s="426"/>
      <c r="Q14" s="444"/>
      <c r="R14" s="445"/>
      <c r="S14" s="444"/>
      <c r="T14" s="425"/>
      <c r="U14" s="376" t="str">
        <f t="shared" si="0"/>
        <v/>
      </c>
      <c r="V14" s="377"/>
      <c r="W14" s="354" t="str">
        <f t="shared" si="3"/>
        <v/>
      </c>
      <c r="X14" s="354"/>
      <c r="Y14" s="354" t="str">
        <f t="shared" si="1"/>
        <v/>
      </c>
      <c r="Z14" s="355"/>
      <c r="AC14" s="2" t="e">
        <f>C14*E14*AA166*$U$3*AG14</f>
        <v>#VALUE!</v>
      </c>
      <c r="AD14" s="2" t="e">
        <f>C14*E14*AA166*$W$3*AH14</f>
        <v>#VALUE!</v>
      </c>
      <c r="AF14" s="32" t="b">
        <v>0</v>
      </c>
      <c r="AG14" s="2" t="str">
        <f t="shared" si="4"/>
        <v>エラー</v>
      </c>
      <c r="AH14" s="2" t="str">
        <f t="shared" si="5"/>
        <v>エラー</v>
      </c>
      <c r="AJ14" s="2" t="e">
        <f>IF(共通条件・結果!$Z$6="８（Ⅵ）",0.01*(16+19*(2*Q14+S14)/O14),0.01*(24+9*(3*Q14+S14)/O14))</f>
        <v>#DIV/0!</v>
      </c>
      <c r="AK14" s="2" t="e">
        <f t="shared" si="6"/>
        <v>#DIV/0!</v>
      </c>
      <c r="AM14" s="2">
        <f>IF(共通条件・結果!$Z$6="８地域",AA146,IF(AN14="FALSE",AA146,IF(K14="風除室",1/((1/AA146)+0.1),0.5*AA146+0.5*(1/((1/AA146)+AN14)))))</f>
        <v>0</v>
      </c>
      <c r="AN14" s="30" t="str">
        <f t="shared" si="2"/>
        <v>FALSE</v>
      </c>
      <c r="AW14" s="80"/>
      <c r="BA14" s="80"/>
    </row>
    <row r="15" spans="1:53" s="2" customFormat="1" ht="34.5" customHeight="1" x14ac:dyDescent="0.15">
      <c r="A15" s="459"/>
      <c r="B15" s="534"/>
      <c r="C15" s="415"/>
      <c r="D15" s="535"/>
      <c r="E15" s="536"/>
      <c r="F15" s="416"/>
      <c r="G15" s="486"/>
      <c r="H15" s="487"/>
      <c r="I15" s="486"/>
      <c r="J15" s="487"/>
      <c r="K15" s="537"/>
      <c r="L15" s="538"/>
      <c r="M15" s="488"/>
      <c r="N15" s="489"/>
      <c r="O15" s="425"/>
      <c r="P15" s="426"/>
      <c r="Q15" s="427"/>
      <c r="R15" s="428"/>
      <c r="S15" s="425"/>
      <c r="T15" s="426"/>
      <c r="U15" s="376" t="str">
        <f t="shared" si="0"/>
        <v/>
      </c>
      <c r="V15" s="377"/>
      <c r="W15" s="354" t="str">
        <f t="shared" si="3"/>
        <v/>
      </c>
      <c r="X15" s="354"/>
      <c r="Y15" s="354" t="str">
        <f t="shared" si="1"/>
        <v/>
      </c>
      <c r="Z15" s="355"/>
      <c r="AC15" s="2" t="e">
        <f>C15*E15*AB166*$U$3*AG15</f>
        <v>#VALUE!</v>
      </c>
      <c r="AD15" s="2" t="e">
        <f>C15*E15*AB166*$W$3*AH15</f>
        <v>#VALUE!</v>
      </c>
      <c r="AF15" s="32" t="b">
        <v>0</v>
      </c>
      <c r="AG15" s="2" t="str">
        <f t="shared" si="4"/>
        <v>エラー</v>
      </c>
      <c r="AH15" s="2" t="str">
        <f t="shared" si="5"/>
        <v>エラー</v>
      </c>
      <c r="AJ15" s="2" t="e">
        <f>IF(共通条件・結果!$Z$6="８（Ⅵ）",0.01*(16+19*(2*Q15+S15)/O15),0.01*(24+9*(3*Q15+S15)/O15))</f>
        <v>#DIV/0!</v>
      </c>
      <c r="AK15" s="2" t="e">
        <f t="shared" si="6"/>
        <v>#DIV/0!</v>
      </c>
      <c r="AM15" s="2">
        <f>IF(共通条件・結果!$Z$6="８地域",AB146,IF(AN15="FALSE",AB146,IF(K15="風除室",1/((1/AB146)+0.1),0.5*AB146+0.5*(1/((1/AB146)+AN15)))))</f>
        <v>0</v>
      </c>
      <c r="AN15" s="30" t="str">
        <f t="shared" si="2"/>
        <v>FALSE</v>
      </c>
      <c r="AW15" s="80"/>
      <c r="BA15" s="80"/>
    </row>
    <row r="16" spans="1:53" s="2" customFormat="1" ht="34.5" customHeight="1" thickBot="1" x14ac:dyDescent="0.2">
      <c r="A16" s="468"/>
      <c r="B16" s="544"/>
      <c r="C16" s="421"/>
      <c r="D16" s="545"/>
      <c r="E16" s="546"/>
      <c r="F16" s="422"/>
      <c r="G16" s="471"/>
      <c r="H16" s="472"/>
      <c r="I16" s="471"/>
      <c r="J16" s="472"/>
      <c r="K16" s="547"/>
      <c r="L16" s="548"/>
      <c r="M16" s="423"/>
      <c r="N16" s="424"/>
      <c r="O16" s="455"/>
      <c r="P16" s="456"/>
      <c r="Q16" s="457"/>
      <c r="R16" s="458"/>
      <c r="S16" s="455"/>
      <c r="T16" s="456"/>
      <c r="U16" s="376" t="str">
        <f t="shared" si="0"/>
        <v/>
      </c>
      <c r="V16" s="377"/>
      <c r="W16" s="354" t="str">
        <f t="shared" si="3"/>
        <v/>
      </c>
      <c r="X16" s="354"/>
      <c r="Y16" s="360" t="str">
        <f t="shared" si="1"/>
        <v/>
      </c>
      <c r="Z16" s="361"/>
      <c r="AC16" s="2" t="e">
        <f>C16*E16*AC166*$U$3*AG16</f>
        <v>#VALUE!</v>
      </c>
      <c r="AD16" s="2" t="e">
        <f>C16*E16*AC166*$W$3*AH16</f>
        <v>#VALUE!</v>
      </c>
      <c r="AF16" s="32" t="b">
        <v>0</v>
      </c>
      <c r="AG16" s="2" t="str">
        <f t="shared" si="4"/>
        <v>エラー</v>
      </c>
      <c r="AH16" s="2" t="str">
        <f t="shared" si="5"/>
        <v>エラー</v>
      </c>
      <c r="AJ16" s="2" t="e">
        <f>IF(共通条件・結果!$Z$6="８（Ⅵ）",0.01*(16+19*(2*Q16+S16)/O16),0.01*(24+9*(3*Q16+S16)/O16))</f>
        <v>#DIV/0!</v>
      </c>
      <c r="AK16" s="2" t="e">
        <f>0.01*(5+20*(3*Q16+S16)/O16)</f>
        <v>#DIV/0!</v>
      </c>
      <c r="AM16" s="2">
        <f>IF(共通条件・結果!$Z$6="８地域",AC146,IF(AN16="FALSE",AC146,IF(K16="風除室",1/((1/AC146)+0.1),0.5*AC146+0.5*(1/((1/AC146)+AN16)))))</f>
        <v>0</v>
      </c>
      <c r="AN16" s="30" t="str">
        <f t="shared" si="2"/>
        <v>FALSE</v>
      </c>
      <c r="AW16" s="80"/>
      <c r="BA16" s="80"/>
    </row>
    <row r="17" spans="1:53" s="2" customFormat="1" ht="21.95" customHeight="1" thickBot="1" x14ac:dyDescent="0.2">
      <c r="A17" s="453" t="s">
        <v>358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388">
        <f>SUM(U7:V16)</f>
        <v>0</v>
      </c>
      <c r="V17" s="388"/>
      <c r="W17" s="388">
        <f>SUM(W7:X16)</f>
        <v>0</v>
      </c>
      <c r="X17" s="388"/>
      <c r="Y17" s="388">
        <f>SUM(Y7:Z16)</f>
        <v>0</v>
      </c>
      <c r="Z17" s="389"/>
      <c r="AW17" s="80"/>
      <c r="BA17" s="80"/>
    </row>
    <row r="18" spans="1:53" s="2" customFormat="1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AM18" s="351"/>
      <c r="AN18" s="351"/>
      <c r="AW18" s="80"/>
      <c r="BA18" s="80"/>
    </row>
    <row r="19" spans="1:53" s="2" customFormat="1" ht="21.95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76" t="s">
        <v>271</v>
      </c>
      <c r="J19" s="54"/>
      <c r="K19" s="76"/>
      <c r="L19" s="54"/>
      <c r="M19" s="54"/>
      <c r="N19" s="54"/>
      <c r="O19" s="54"/>
      <c r="P19" s="54"/>
      <c r="Q19" s="54"/>
      <c r="R19" s="54"/>
      <c r="S19" s="54"/>
      <c r="T19" s="54"/>
      <c r="AW19" s="80"/>
      <c r="BA19" s="80"/>
    </row>
    <row r="20" spans="1:53" s="2" customFormat="1" ht="24" customHeight="1" x14ac:dyDescent="0.15">
      <c r="A20" s="54"/>
      <c r="B20" s="54"/>
      <c r="C20" s="54"/>
      <c r="D20" s="54"/>
      <c r="E20" s="54"/>
      <c r="F20" s="54"/>
      <c r="G20" s="54"/>
      <c r="H20" s="54"/>
      <c r="I20" s="411" t="s">
        <v>268</v>
      </c>
      <c r="J20" s="412"/>
      <c r="K20" s="482" t="s">
        <v>270</v>
      </c>
      <c r="L20" s="483"/>
      <c r="M20" s="483"/>
      <c r="N20" s="484"/>
      <c r="O20" s="447" t="s">
        <v>109</v>
      </c>
      <c r="P20" s="448"/>
      <c r="Q20" s="448"/>
      <c r="R20" s="449"/>
      <c r="S20" s="470" t="s">
        <v>112</v>
      </c>
      <c r="T20" s="378"/>
      <c r="U20" s="380" t="s">
        <v>65</v>
      </c>
      <c r="V20" s="381"/>
      <c r="W20" s="380" t="s">
        <v>64</v>
      </c>
      <c r="X20" s="381"/>
      <c r="Y20" s="381" t="s">
        <v>13</v>
      </c>
      <c r="Z20" s="390"/>
      <c r="AM20" s="351" t="s">
        <v>83</v>
      </c>
      <c r="AN20" s="351"/>
      <c r="AW20" s="80"/>
      <c r="BA20" s="80"/>
    </row>
    <row r="21" spans="1:53" s="2" customFormat="1" ht="24" customHeight="1" thickBot="1" x14ac:dyDescent="0.2">
      <c r="A21" s="54"/>
      <c r="B21" s="95"/>
      <c r="C21" s="95"/>
      <c r="D21" s="95"/>
      <c r="E21" s="95"/>
      <c r="F21" s="95"/>
      <c r="G21" s="95"/>
      <c r="H21" s="95"/>
      <c r="I21" s="413"/>
      <c r="J21" s="414"/>
      <c r="K21" s="480" t="s">
        <v>9</v>
      </c>
      <c r="L21" s="481"/>
      <c r="M21" s="474" t="s">
        <v>8</v>
      </c>
      <c r="N21" s="379"/>
      <c r="O21" s="450"/>
      <c r="P21" s="451"/>
      <c r="Q21" s="451"/>
      <c r="R21" s="452"/>
      <c r="S21" s="379"/>
      <c r="T21" s="379"/>
      <c r="U21" s="382"/>
      <c r="V21" s="382"/>
      <c r="W21" s="382"/>
      <c r="X21" s="382"/>
      <c r="Y21" s="382"/>
      <c r="Z21" s="391"/>
      <c r="AM21" s="2" t="s">
        <v>81</v>
      </c>
      <c r="AN21" s="2" t="s">
        <v>79</v>
      </c>
      <c r="AW21" s="80"/>
      <c r="BA21" s="80"/>
    </row>
    <row r="22" spans="1:53" s="2" customFormat="1" ht="42" customHeight="1" x14ac:dyDescent="0.15">
      <c r="A22" s="54"/>
      <c r="B22" s="95"/>
      <c r="C22" s="95"/>
      <c r="D22" s="95"/>
      <c r="E22" s="95"/>
      <c r="F22" s="95"/>
      <c r="G22" s="95"/>
      <c r="H22" s="95"/>
      <c r="I22" s="385"/>
      <c r="J22" s="386"/>
      <c r="K22" s="475"/>
      <c r="L22" s="476"/>
      <c r="M22" s="476"/>
      <c r="N22" s="477"/>
      <c r="O22" s="369"/>
      <c r="P22" s="370"/>
      <c r="Q22" s="370"/>
      <c r="R22" s="371"/>
      <c r="S22" s="478"/>
      <c r="T22" s="478"/>
      <c r="U22" s="479" t="str">
        <f>IF(K22="","",K22*M22*H173*0.034*$U$3)</f>
        <v/>
      </c>
      <c r="V22" s="479"/>
      <c r="W22" s="360" t="str">
        <f>IF(K22="","",IF(ISERROR(K22*M22*H173*0.034*$W$3),"-",K22*M22*H173*0.034*$W$3))</f>
        <v/>
      </c>
      <c r="X22" s="360"/>
      <c r="Y22" s="360" t="str">
        <f>IF(K22="","",K22*M22*AM22)</f>
        <v/>
      </c>
      <c r="Z22" s="361"/>
      <c r="AM22" s="2" t="e">
        <f>IF(共通条件・結果!$Z$6="８地域",H173,IF(AN22="FALSE",H173,1/((1/H173)+0.1)))</f>
        <v>#N/A</v>
      </c>
      <c r="AN22" s="30" t="str">
        <f>IF(S22="","FALSE",IF(S22="あり",0.1,IF(S22="なし","FALSE")))</f>
        <v>FALSE</v>
      </c>
      <c r="AW22" s="80"/>
      <c r="BA22" s="80"/>
    </row>
    <row r="23" spans="1:53" s="2" customFormat="1" ht="42" customHeight="1" thickBot="1" x14ac:dyDescent="0.2">
      <c r="A23" s="54"/>
      <c r="B23" s="95"/>
      <c r="C23" s="95"/>
      <c r="D23" s="95"/>
      <c r="E23" s="95"/>
      <c r="F23" s="95"/>
      <c r="G23" s="95"/>
      <c r="H23" s="95"/>
      <c r="I23" s="405"/>
      <c r="J23" s="406"/>
      <c r="K23" s="392"/>
      <c r="L23" s="374"/>
      <c r="M23" s="374"/>
      <c r="N23" s="375"/>
      <c r="O23" s="400"/>
      <c r="P23" s="401"/>
      <c r="Q23" s="401"/>
      <c r="R23" s="402"/>
      <c r="S23" s="373"/>
      <c r="T23" s="373"/>
      <c r="U23" s="372" t="str">
        <f>IF(K23="","",K23*M23*H174*0.034*$U$3)</f>
        <v/>
      </c>
      <c r="V23" s="372"/>
      <c r="W23" s="372" t="str">
        <f>IF(K23="","",IF(ISERROR(K23*M23*H174*0.034*$W$3),"-",K23*M23*H174*0.034*$W$3))</f>
        <v/>
      </c>
      <c r="X23" s="372"/>
      <c r="Y23" s="372" t="str">
        <f>IF(K23="","",K23*M23*AM23)</f>
        <v/>
      </c>
      <c r="Z23" s="387"/>
      <c r="AM23" s="2" t="e">
        <f>IF(共通条件・結果!$Z$6="８地域",H174,IF(AN23="FALSE",H174,1/((1/H174)+0.1)))</f>
        <v>#N/A</v>
      </c>
      <c r="AN23" s="30" t="str">
        <f>IF(S23="","FALSE",IF(S23="あり",0.1,IF(S23="なし","FALSE")))</f>
        <v>FALSE</v>
      </c>
      <c r="AW23" s="80"/>
      <c r="BA23" s="80"/>
    </row>
    <row r="24" spans="1:53" s="2" customFormat="1" ht="21.95" customHeight="1" thickBot="1" x14ac:dyDescent="0.2">
      <c r="A24" s="54"/>
      <c r="B24" s="95"/>
      <c r="C24" s="95"/>
      <c r="D24" s="95"/>
      <c r="E24" s="95"/>
      <c r="F24" s="95"/>
      <c r="G24" s="95"/>
      <c r="H24" s="95"/>
      <c r="I24" s="362" t="s">
        <v>359</v>
      </c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  <c r="U24" s="388">
        <f>SUM(U22:V23)</f>
        <v>0</v>
      </c>
      <c r="V24" s="388"/>
      <c r="W24" s="388">
        <f>SUM(W22:X23)</f>
        <v>0</v>
      </c>
      <c r="X24" s="388"/>
      <c r="Y24" s="388">
        <f>SUM(Y22:Z23)</f>
        <v>0</v>
      </c>
      <c r="Z24" s="389"/>
      <c r="AN24" s="30"/>
      <c r="AW24" s="80"/>
      <c r="BA24" s="80"/>
    </row>
    <row r="25" spans="1:53" s="2" customFormat="1" ht="11.25" customHeight="1" x14ac:dyDescent="0.15">
      <c r="A25" s="54"/>
      <c r="B25" s="95"/>
      <c r="C25" s="95"/>
      <c r="D25" s="95"/>
      <c r="E25" s="95"/>
      <c r="F25" s="95"/>
      <c r="G25" s="95"/>
      <c r="H25" s="95"/>
      <c r="I25" s="9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AN25" s="30"/>
      <c r="AW25" s="80"/>
      <c r="BA25" s="80"/>
    </row>
    <row r="26" spans="1:53" s="2" customFormat="1" ht="21.95" customHeight="1" thickBot="1" x14ac:dyDescent="0.2">
      <c r="A26" s="54"/>
      <c r="B26" s="95"/>
      <c r="C26" s="95"/>
      <c r="D26" s="95"/>
      <c r="E26" s="95"/>
      <c r="F26" s="95"/>
      <c r="G26" s="95"/>
      <c r="H26" s="95"/>
      <c r="I26" s="58" t="s">
        <v>272</v>
      </c>
      <c r="J26" s="54"/>
      <c r="K26" s="76"/>
      <c r="L26" s="54"/>
      <c r="M26" s="54"/>
      <c r="N26" s="54"/>
      <c r="O26" s="54"/>
      <c r="P26" s="54"/>
      <c r="Q26" s="54"/>
      <c r="R26" s="54"/>
      <c r="S26" s="54"/>
      <c r="T26" s="54"/>
      <c r="AN26" s="30"/>
      <c r="AW26" s="80"/>
      <c r="BA26" s="80"/>
    </row>
    <row r="27" spans="1:53" s="2" customFormat="1" ht="24" customHeight="1" x14ac:dyDescent="0.15">
      <c r="A27" s="54"/>
      <c r="B27" s="95"/>
      <c r="C27" s="95"/>
      <c r="D27" s="95"/>
      <c r="E27" s="95"/>
      <c r="F27" s="95"/>
      <c r="G27" s="95"/>
      <c r="H27" s="95"/>
      <c r="I27" s="411" t="s">
        <v>375</v>
      </c>
      <c r="J27" s="412"/>
      <c r="K27" s="365" t="s">
        <v>51</v>
      </c>
      <c r="L27" s="366"/>
      <c r="M27" s="365" t="s">
        <v>396</v>
      </c>
      <c r="N27" s="366"/>
      <c r="O27" s="365" t="s">
        <v>52</v>
      </c>
      <c r="P27" s="366"/>
      <c r="Q27" s="378" t="s">
        <v>7</v>
      </c>
      <c r="R27" s="378"/>
      <c r="S27" s="365" t="s">
        <v>378</v>
      </c>
      <c r="T27" s="366"/>
      <c r="U27" s="380" t="s">
        <v>65</v>
      </c>
      <c r="V27" s="381"/>
      <c r="W27" s="380" t="s">
        <v>64</v>
      </c>
      <c r="X27" s="381"/>
      <c r="Y27" s="381" t="s">
        <v>13</v>
      </c>
      <c r="Z27" s="390"/>
      <c r="AN27" s="30"/>
      <c r="AW27" s="80"/>
      <c r="BA27" s="80"/>
    </row>
    <row r="28" spans="1:53" s="2" customFormat="1" ht="24" customHeight="1" thickBot="1" x14ac:dyDescent="0.2">
      <c r="A28" s="54"/>
      <c r="B28" s="95"/>
      <c r="C28" s="95"/>
      <c r="D28" s="95"/>
      <c r="E28" s="95"/>
      <c r="F28" s="95"/>
      <c r="G28" s="95"/>
      <c r="H28" s="95"/>
      <c r="I28" s="413"/>
      <c r="J28" s="414"/>
      <c r="K28" s="367"/>
      <c r="L28" s="368"/>
      <c r="M28" s="367"/>
      <c r="N28" s="368"/>
      <c r="O28" s="367"/>
      <c r="P28" s="368"/>
      <c r="Q28" s="379"/>
      <c r="R28" s="379"/>
      <c r="S28" s="367"/>
      <c r="T28" s="368"/>
      <c r="U28" s="382"/>
      <c r="V28" s="382"/>
      <c r="W28" s="382"/>
      <c r="X28" s="382"/>
      <c r="Y28" s="382"/>
      <c r="Z28" s="391"/>
      <c r="AD28" s="54" t="s">
        <v>376</v>
      </c>
      <c r="AE28" s="54" t="s">
        <v>377</v>
      </c>
      <c r="AW28" s="80"/>
      <c r="BA28" s="80"/>
    </row>
    <row r="29" spans="1:53" s="2" customFormat="1" ht="21.95" customHeight="1" x14ac:dyDescent="0.15">
      <c r="A29" s="54"/>
      <c r="B29" s="95"/>
      <c r="C29" s="95"/>
      <c r="D29" s="95"/>
      <c r="E29" s="95"/>
      <c r="F29" s="95"/>
      <c r="G29" s="95"/>
      <c r="H29" s="95"/>
      <c r="I29" s="385"/>
      <c r="J29" s="386"/>
      <c r="K29" s="394"/>
      <c r="L29" s="395"/>
      <c r="M29" s="394"/>
      <c r="N29" s="395"/>
      <c r="O29" s="396" t="str">
        <f>IF(K29="","",K29-M29)</f>
        <v/>
      </c>
      <c r="P29" s="397"/>
      <c r="Q29" s="383" t="str">
        <f>IF(O29="","",IF(I29="W-1",断熱仕様一覧!$F$7,IF(I29="W-2",断熱仕様一覧!$F$8,IF(I29="W-3",断熱仕様一覧!$F$9))))</f>
        <v/>
      </c>
      <c r="R29" s="384"/>
      <c r="S29" s="407"/>
      <c r="T29" s="408"/>
      <c r="U29" s="354" t="str">
        <f>IF(O29="","",IF(AC29=TRUE,0,O29*Q29*0.034*$U$3))</f>
        <v/>
      </c>
      <c r="V29" s="354"/>
      <c r="W29" s="376" t="str">
        <f>IF(O29="","",IF(ISERROR(O29*Q29*0.034*$W$3),"-",IF(AC29=TRUE,0,O29*Q29*0.034*$W$3)))</f>
        <v/>
      </c>
      <c r="X29" s="377"/>
      <c r="Y29" s="352" t="str">
        <f>IF(Q29="","",IF(AC29=TRUE,0.7*Q29*O29,Q29*O29))</f>
        <v/>
      </c>
      <c r="Z29" s="353"/>
      <c r="AC29" s="136" t="b">
        <v>0</v>
      </c>
      <c r="AD29" s="136">
        <f>IF(AC29=TRUE,0.7,1)</f>
        <v>1</v>
      </c>
      <c r="AE29" s="136" t="str">
        <f>IF(AC29=TRUE,0,"セル")</f>
        <v>セル</v>
      </c>
      <c r="AW29" s="80"/>
      <c r="BA29" s="80"/>
    </row>
    <row r="30" spans="1:53" s="2" customFormat="1" ht="21.95" customHeight="1" x14ac:dyDescent="0.15">
      <c r="A30" s="54"/>
      <c r="B30" s="95"/>
      <c r="C30" s="95"/>
      <c r="D30" s="95"/>
      <c r="E30" s="95"/>
      <c r="F30" s="95"/>
      <c r="G30" s="95"/>
      <c r="H30" s="95"/>
      <c r="I30" s="419"/>
      <c r="J30" s="420"/>
      <c r="K30" s="415"/>
      <c r="L30" s="416"/>
      <c r="M30" s="415"/>
      <c r="N30" s="416"/>
      <c r="O30" s="417" t="str">
        <f>IF(K30="","",K30-M30)</f>
        <v/>
      </c>
      <c r="P30" s="418"/>
      <c r="Q30" s="403" t="str">
        <f>IF(O30="","",IF(I30="W-1",断熱仕様一覧!$F$7,IF(I30="W-2",断熱仕様一覧!$F$8,IF(I30="W-3",断熱仕様一覧!$F$9))))</f>
        <v/>
      </c>
      <c r="R30" s="404"/>
      <c r="S30" s="409"/>
      <c r="T30" s="410"/>
      <c r="U30" s="354" t="str">
        <f>IF(O30="","",IF(AC30=TRUE,0,O30*Q30*0.034*$U$3))</f>
        <v/>
      </c>
      <c r="V30" s="354"/>
      <c r="W30" s="376" t="str">
        <f>IF(O30="","",IF(ISERROR(O30*Q30*0.034*$W$3),"-",IF(AC30=TRUE,0,O30*Q30*0.034*$W$3)))</f>
        <v/>
      </c>
      <c r="X30" s="377"/>
      <c r="Y30" s="354" t="str">
        <f>IF(Q30="","",IF(AC30=TRUE,0.7*Q30*O30,Q30*O30))</f>
        <v/>
      </c>
      <c r="Z30" s="355"/>
      <c r="AC30" s="136" t="b">
        <v>0</v>
      </c>
      <c r="AD30" s="136">
        <f>IF(AC30=TRUE,0.7,1)</f>
        <v>1</v>
      </c>
      <c r="AE30" s="136" t="str">
        <f>IF(AC30=TRUE,0,"セル")</f>
        <v>セル</v>
      </c>
      <c r="AW30" s="80"/>
      <c r="BA30" s="80"/>
    </row>
    <row r="31" spans="1:53" s="2" customFormat="1" ht="21.95" customHeight="1" thickBot="1" x14ac:dyDescent="0.2">
      <c r="A31" s="54"/>
      <c r="B31" s="95"/>
      <c r="C31" s="95"/>
      <c r="D31" s="95"/>
      <c r="E31" s="95"/>
      <c r="F31" s="95"/>
      <c r="G31" s="95"/>
      <c r="H31" s="95"/>
      <c r="I31" s="405"/>
      <c r="J31" s="406"/>
      <c r="K31" s="421"/>
      <c r="L31" s="422"/>
      <c r="M31" s="421"/>
      <c r="N31" s="422"/>
      <c r="O31" s="438" t="str">
        <f>IF(K31="","",K31-M31)</f>
        <v/>
      </c>
      <c r="P31" s="439"/>
      <c r="Q31" s="440" t="str">
        <f>IF(O31="","",IF(I31="W-1",断熱仕様一覧!$F$7,IF(I31="W-2",断熱仕様一覧!$F$8,IF(I31="W-3",断熱仕様一覧!$F$9))))</f>
        <v/>
      </c>
      <c r="R31" s="441"/>
      <c r="S31" s="358"/>
      <c r="T31" s="359"/>
      <c r="U31" s="360" t="str">
        <f>IF(O31="","",IF(AC31=TRUE,0,O31*Q31*0.034*$U$3))</f>
        <v/>
      </c>
      <c r="V31" s="360"/>
      <c r="W31" s="356" t="str">
        <f>IF(O31="","",IF(ISERROR(O31*Q31*0.034*$W$3),"-",IF(AC31=TRUE,0,O31*Q31*0.034*$W$3)))</f>
        <v/>
      </c>
      <c r="X31" s="357"/>
      <c r="Y31" s="360" t="str">
        <f>IF(Q31="","",IF(AC31=TRUE,0.7*Q31*O31,Q31*O31))</f>
        <v/>
      </c>
      <c r="Z31" s="361"/>
      <c r="AC31" s="136" t="b">
        <v>0</v>
      </c>
      <c r="AD31" s="136">
        <f>IF(AC31=TRUE,0.7,1)</f>
        <v>1</v>
      </c>
      <c r="AE31" s="136" t="str">
        <f>IF(AC31=TRUE,0,"セル")</f>
        <v>セル</v>
      </c>
      <c r="AW31" s="80"/>
      <c r="BA31" s="80"/>
    </row>
    <row r="32" spans="1:53" s="2" customFormat="1" ht="21.95" customHeight="1" thickBot="1" x14ac:dyDescent="0.2">
      <c r="I32" s="362" t="s">
        <v>360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  <c r="U32" s="388">
        <f>SUM(U29:V31)</f>
        <v>0</v>
      </c>
      <c r="V32" s="388"/>
      <c r="W32" s="388">
        <f>SUM(W29:X31)</f>
        <v>0</v>
      </c>
      <c r="X32" s="388"/>
      <c r="Y32" s="388">
        <f>SUM(Y29:Z31)</f>
        <v>0</v>
      </c>
      <c r="Z32" s="389"/>
    </row>
    <row r="33" spans="1:51" s="2" customFormat="1" ht="10.5" customHeight="1" x14ac:dyDescent="0.15"/>
    <row r="34" spans="1:51" s="2" customFormat="1" ht="21.95" customHeight="1" thickBot="1" x14ac:dyDescent="0.2">
      <c r="A34" s="4" t="s">
        <v>361</v>
      </c>
    </row>
    <row r="35" spans="1:51" s="2" customFormat="1" ht="21.95" customHeight="1" x14ac:dyDescent="0.15">
      <c r="A35" s="461" t="s">
        <v>334</v>
      </c>
      <c r="B35" s="462"/>
      <c r="C35" s="288" t="s">
        <v>54</v>
      </c>
      <c r="D35" s="289"/>
      <c r="E35" s="289"/>
      <c r="F35" s="289"/>
      <c r="G35" s="289"/>
      <c r="H35" s="289"/>
      <c r="I35" s="290"/>
      <c r="J35" s="33"/>
      <c r="K35" s="398">
        <f>P35+T35+X35</f>
        <v>0</v>
      </c>
      <c r="L35" s="398"/>
      <c r="M35" s="398"/>
      <c r="N35" s="33" t="s">
        <v>21</v>
      </c>
      <c r="O35" s="34" t="s">
        <v>20</v>
      </c>
      <c r="P35" s="399">
        <f>C7*E7+C8*E8+C9*E9+C10*E10+C11*E11+C12*E12+C13*E13+C14*E14+C15*E15+C16*E16</f>
        <v>0</v>
      </c>
      <c r="Q35" s="399"/>
      <c r="R35" s="35" t="s">
        <v>22</v>
      </c>
      <c r="S35" s="35" t="s">
        <v>19</v>
      </c>
      <c r="T35" s="467">
        <f>K22*M22+K23*M23</f>
        <v>0</v>
      </c>
      <c r="U35" s="467"/>
      <c r="V35" s="35" t="s">
        <v>22</v>
      </c>
      <c r="W35" s="35" t="s">
        <v>1</v>
      </c>
      <c r="X35" s="398">
        <f>SUM(O29:P31)</f>
        <v>0</v>
      </c>
      <c r="Y35" s="398"/>
      <c r="Z35" s="36" t="s">
        <v>16</v>
      </c>
    </row>
    <row r="36" spans="1:51" s="2" customFormat="1" ht="21.95" customHeight="1" x14ac:dyDescent="0.15">
      <c r="A36" s="463"/>
      <c r="B36" s="464"/>
      <c r="C36" s="314" t="s">
        <v>69</v>
      </c>
      <c r="D36" s="315"/>
      <c r="E36" s="315"/>
      <c r="F36" s="315"/>
      <c r="G36" s="315"/>
      <c r="H36" s="315"/>
      <c r="I36" s="31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93">
        <f>U17+U24+U32</f>
        <v>0</v>
      </c>
      <c r="W36" s="393"/>
      <c r="X36" s="393"/>
      <c r="Y36" s="37"/>
      <c r="Z36" s="38"/>
    </row>
    <row r="37" spans="1:51" s="2" customFormat="1" ht="21.95" customHeight="1" x14ac:dyDescent="0.15">
      <c r="A37" s="463"/>
      <c r="B37" s="464"/>
      <c r="C37" s="314" t="s">
        <v>70</v>
      </c>
      <c r="D37" s="315"/>
      <c r="E37" s="315"/>
      <c r="F37" s="315"/>
      <c r="G37" s="315"/>
      <c r="H37" s="315"/>
      <c r="I37" s="31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93">
        <f>W17+W24+W32</f>
        <v>0</v>
      </c>
      <c r="W37" s="393"/>
      <c r="X37" s="393"/>
      <c r="Y37" s="37"/>
      <c r="Z37" s="38"/>
    </row>
    <row r="38" spans="1:51" s="2" customFormat="1" ht="21.95" customHeight="1" thickBot="1" x14ac:dyDescent="0.2">
      <c r="A38" s="465"/>
      <c r="B38" s="466"/>
      <c r="C38" s="318" t="s">
        <v>17</v>
      </c>
      <c r="D38" s="319"/>
      <c r="E38" s="319"/>
      <c r="F38" s="319"/>
      <c r="G38" s="319"/>
      <c r="H38" s="319"/>
      <c r="I38" s="32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7">
        <f>Y17+Y24+Y32</f>
        <v>0</v>
      </c>
      <c r="W38" s="437"/>
      <c r="X38" s="437"/>
      <c r="Y38" s="40" t="s">
        <v>18</v>
      </c>
      <c r="Z38" s="41"/>
    </row>
    <row r="39" spans="1:51" s="2" customFormat="1" ht="21.95" customHeight="1" x14ac:dyDescent="0.15"/>
    <row r="40" spans="1:51" s="2" customFormat="1" ht="21.95" customHeight="1" x14ac:dyDescent="0.15"/>
    <row r="41" spans="1:51" s="2" customFormat="1" ht="21.95" customHeight="1" x14ac:dyDescent="0.15"/>
    <row r="42" spans="1:51" s="2" customFormat="1" ht="21.95" hidden="1" customHeight="1" x14ac:dyDescent="0.15">
      <c r="B42" s="114" t="s">
        <v>266</v>
      </c>
    </row>
    <row r="43" spans="1:51" s="2" customFormat="1" ht="21.95" hidden="1" customHeight="1" x14ac:dyDescent="0.15">
      <c r="AC43" s="54"/>
      <c r="AD43" s="54"/>
    </row>
    <row r="44" spans="1:51" s="2" customFormat="1" ht="21.75" hidden="1" customHeight="1" x14ac:dyDescent="0.15">
      <c r="B44" s="51" t="s">
        <v>109</v>
      </c>
      <c r="O44" s="351" t="s">
        <v>186</v>
      </c>
      <c r="P44" s="351"/>
      <c r="Q44" s="351"/>
      <c r="AC44" s="54"/>
      <c r="AD44" s="54"/>
    </row>
    <row r="45" spans="1:51" s="2" customFormat="1" ht="21.75" hidden="1" customHeight="1" x14ac:dyDescent="0.15">
      <c r="B45" s="51" t="s">
        <v>155</v>
      </c>
      <c r="D45" s="95"/>
      <c r="E45" s="95"/>
      <c r="M45" s="51" t="s">
        <v>110</v>
      </c>
      <c r="N45" s="2" t="s">
        <v>187</v>
      </c>
      <c r="O45" s="79" t="s">
        <v>113</v>
      </c>
      <c r="P45" s="79" t="s">
        <v>114</v>
      </c>
      <c r="Q45" s="79" t="s">
        <v>115</v>
      </c>
      <c r="T45" s="30" t="s">
        <v>116</v>
      </c>
      <c r="U45" s="30" t="s">
        <v>117</v>
      </c>
      <c r="V45" s="30" t="s">
        <v>118</v>
      </c>
      <c r="W45" s="30" t="s">
        <v>119</v>
      </c>
      <c r="X45" s="30" t="s">
        <v>120</v>
      </c>
      <c r="Y45" s="30" t="s">
        <v>121</v>
      </c>
      <c r="Z45" s="30" t="s">
        <v>122</v>
      </c>
      <c r="AA45" s="30" t="s">
        <v>326</v>
      </c>
      <c r="AB45" s="30" t="s">
        <v>327</v>
      </c>
      <c r="AC45" s="30" t="s">
        <v>328</v>
      </c>
      <c r="AD45" s="54"/>
      <c r="AF45" s="51" t="s">
        <v>837</v>
      </c>
      <c r="AJ45" s="51" t="s">
        <v>838</v>
      </c>
      <c r="AN45" s="51" t="s">
        <v>839</v>
      </c>
      <c r="AR45" s="51" t="s">
        <v>840</v>
      </c>
      <c r="AV45" s="51" t="s">
        <v>841</v>
      </c>
    </row>
    <row r="46" spans="1:51" s="2" customFormat="1" ht="21.75" hidden="1" customHeight="1" x14ac:dyDescent="0.15">
      <c r="A46" s="30"/>
      <c r="B46" s="223" t="s">
        <v>833</v>
      </c>
      <c r="C46" s="224" t="s">
        <v>156</v>
      </c>
      <c r="D46" s="58"/>
      <c r="E46" s="58"/>
      <c r="K46" s="2" t="s">
        <v>160</v>
      </c>
      <c r="L46" s="66" t="s">
        <v>156</v>
      </c>
      <c r="M46" s="100" t="s">
        <v>282</v>
      </c>
      <c r="N46" s="55">
        <v>1.6</v>
      </c>
      <c r="O46" s="107">
        <v>0.39</v>
      </c>
      <c r="P46" s="107">
        <v>0.24</v>
      </c>
      <c r="Q46" s="107">
        <v>0.09</v>
      </c>
      <c r="R46" s="56"/>
      <c r="T46" s="30" t="str">
        <f>IF(AND($G$7=$B$46,$I$7=$M46),"a","-")</f>
        <v>-</v>
      </c>
      <c r="U46" s="30" t="str">
        <f>IF(AND($G$8=$B$46,$I$8=$M46),"a","-")</f>
        <v>-</v>
      </c>
      <c r="V46" s="30" t="str">
        <f>IF(AND($G$9=$B$46,$I$9=$M46),"a","-")</f>
        <v>-</v>
      </c>
      <c r="W46" s="30" t="str">
        <f>IF(AND($G$10=$B$46,$I$10=$M46),"a","-")</f>
        <v>-</v>
      </c>
      <c r="X46" s="30" t="str">
        <f>IF(AND($G$11=$B$46,$I$11=$M46),"a","-")</f>
        <v>-</v>
      </c>
      <c r="Y46" s="30" t="str">
        <f>IF(AND($G$12=$B$46,$I$12=$M46),"a","-")</f>
        <v>-</v>
      </c>
      <c r="Z46" s="30" t="str">
        <f>IF(AND($G$13=$B$46,$I$13=$M46),"a","-")</f>
        <v>-</v>
      </c>
      <c r="AA46" s="30" t="str">
        <f>IF(AND($G$14=$B$46,$I$14=$M46),"a","-")</f>
        <v>-</v>
      </c>
      <c r="AB46" s="30" t="str">
        <f>IF(AND($G$15=$B$46,$I$15=$M46),"a","-")</f>
        <v>-</v>
      </c>
      <c r="AC46" s="30" t="str">
        <f>IF(AND($G$16=$B$46,$I$16=$M46),"a","-")</f>
        <v>-</v>
      </c>
      <c r="AD46" s="54"/>
      <c r="AF46" s="208" t="s">
        <v>833</v>
      </c>
      <c r="AG46" s="208" t="s">
        <v>834</v>
      </c>
      <c r="AH46" s="208" t="s">
        <v>835</v>
      </c>
      <c r="AI46" s="208" t="s">
        <v>836</v>
      </c>
      <c r="AJ46" s="208" t="s">
        <v>833</v>
      </c>
      <c r="AK46" s="208" t="s">
        <v>834</v>
      </c>
      <c r="AL46" s="208" t="s">
        <v>835</v>
      </c>
      <c r="AM46" s="208" t="s">
        <v>836</v>
      </c>
      <c r="AN46" s="208" t="s">
        <v>833</v>
      </c>
      <c r="AO46" s="208" t="s">
        <v>834</v>
      </c>
      <c r="AP46" s="208" t="s">
        <v>835</v>
      </c>
      <c r="AQ46" s="208" t="s">
        <v>836</v>
      </c>
      <c r="AR46" s="208" t="s">
        <v>833</v>
      </c>
      <c r="AS46" s="208" t="s">
        <v>834</v>
      </c>
      <c r="AT46" s="208" t="s">
        <v>835</v>
      </c>
      <c r="AU46" s="208" t="s">
        <v>836</v>
      </c>
      <c r="AV46" s="208" t="s">
        <v>833</v>
      </c>
      <c r="AW46" s="208" t="s">
        <v>834</v>
      </c>
      <c r="AX46" s="208" t="s">
        <v>835</v>
      </c>
      <c r="AY46" s="208" t="s">
        <v>836</v>
      </c>
    </row>
    <row r="47" spans="1:51" s="2" customFormat="1" ht="21.75" hidden="1" customHeight="1" x14ac:dyDescent="0.15">
      <c r="A47" s="30"/>
      <c r="B47" s="223" t="s">
        <v>834</v>
      </c>
      <c r="C47" s="224" t="s">
        <v>859</v>
      </c>
      <c r="D47" s="218"/>
      <c r="E47" s="218"/>
      <c r="K47" s="2" t="s">
        <v>161</v>
      </c>
      <c r="L47" s="66" t="s">
        <v>156</v>
      </c>
      <c r="M47" s="100" t="s">
        <v>283</v>
      </c>
      <c r="N47" s="55">
        <v>1.6</v>
      </c>
      <c r="O47" s="107">
        <v>0.24</v>
      </c>
      <c r="P47" s="107">
        <v>0.16</v>
      </c>
      <c r="Q47" s="107">
        <v>0.06</v>
      </c>
      <c r="R47" s="56"/>
      <c r="T47" s="30" t="str">
        <f>IF(AND($G$7=$B$46,$I$7=$M47),"b","-")</f>
        <v>-</v>
      </c>
      <c r="U47" s="30" t="str">
        <f>IF(AND($G$8=$B$46,$I$8=$M47),"b","-")</f>
        <v>-</v>
      </c>
      <c r="V47" s="30" t="str">
        <f>IF(AND($G$9=$B$46,$I$9=$M47),"b","-")</f>
        <v>-</v>
      </c>
      <c r="W47" s="30" t="str">
        <f>IF(AND($G$10=$B$46,$I$10=$M47),"b","-")</f>
        <v>-</v>
      </c>
      <c r="X47" s="30" t="str">
        <f>IF(AND($G$11=$B$46,$I$11=$M47),"b","-")</f>
        <v>-</v>
      </c>
      <c r="Y47" s="30" t="str">
        <f>IF(AND($G$12=$B$46,$I$12=$M47),"b","-")</f>
        <v>-</v>
      </c>
      <c r="Z47" s="30" t="str">
        <f>IF(AND($G$13=$B$46,$I$13=$M47),"b","-")</f>
        <v>-</v>
      </c>
      <c r="AA47" s="30" t="str">
        <f>IF(AND($G$14=$B$46,$I$14=$M47),"b","-")</f>
        <v>-</v>
      </c>
      <c r="AB47" s="30" t="str">
        <f>IF(AND($G$15=$B$46,$I$15=$M47),"b","-")</f>
        <v>-</v>
      </c>
      <c r="AC47" s="30" t="str">
        <f>IF(AND($G$16=$B$46,$I$16=$M47),"b","-")</f>
        <v>-</v>
      </c>
      <c r="AD47" s="54"/>
      <c r="AV47" s="209" t="s">
        <v>282</v>
      </c>
      <c r="AW47" s="210" t="s">
        <v>297</v>
      </c>
      <c r="AX47" s="211" t="s">
        <v>290</v>
      </c>
      <c r="AY47" s="212" t="s">
        <v>290</v>
      </c>
    </row>
    <row r="48" spans="1:51" s="2" customFormat="1" ht="21.75" hidden="1" customHeight="1" x14ac:dyDescent="0.15">
      <c r="A48" s="30"/>
      <c r="B48" s="223" t="s">
        <v>835</v>
      </c>
      <c r="C48" s="224" t="s">
        <v>860</v>
      </c>
      <c r="D48" s="218"/>
      <c r="E48" s="218"/>
      <c r="K48" s="2" t="s">
        <v>162</v>
      </c>
      <c r="L48" s="66" t="s">
        <v>156</v>
      </c>
      <c r="M48" s="100" t="s">
        <v>284</v>
      </c>
      <c r="N48" s="55">
        <v>1.7</v>
      </c>
      <c r="O48" s="107">
        <v>0.42</v>
      </c>
      <c r="P48" s="107">
        <v>0.27</v>
      </c>
      <c r="Q48" s="107">
        <v>0.1</v>
      </c>
      <c r="R48" s="56"/>
      <c r="T48" s="30" t="str">
        <f>IF(AND($G$7=$B$46,$I$7=$M48),"c","-")</f>
        <v>-</v>
      </c>
      <c r="U48" s="30" t="str">
        <f>IF(AND($G$8=$B$46,$I$8=$M48),"c","-")</f>
        <v>-</v>
      </c>
      <c r="V48" s="30" t="str">
        <f>IF(AND($G$9=$B$46,$I$9=$M48),"c","-")</f>
        <v>-</v>
      </c>
      <c r="W48" s="30" t="str">
        <f>IF(AND($G$10=$B$46,$I$10=$M48),"c","-")</f>
        <v>-</v>
      </c>
      <c r="X48" s="30" t="str">
        <f>IF(AND($G$11=$B$46,$I$11=$M48),"c","-")</f>
        <v>-</v>
      </c>
      <c r="Y48" s="30" t="str">
        <f>IF(AND($G$12=$B$46,$I$12=$M48),"c","-")</f>
        <v>-</v>
      </c>
      <c r="Z48" s="30" t="str">
        <f>IF(AND($G$13=$B$46,$I$13=$M48),"c","-")</f>
        <v>-</v>
      </c>
      <c r="AA48" s="30" t="str">
        <f>IF(AND($G$14=$B$46,$I$14=$M48),"c","-")</f>
        <v>-</v>
      </c>
      <c r="AB48" s="30" t="str">
        <f>IF(AND($G$15=$B$46,$I$15=$M48),"c","-")</f>
        <v>-</v>
      </c>
      <c r="AC48" s="30" t="str">
        <f>IF(AND($G$16=$B$46,$I$16=$M48),"c","-")</f>
        <v>-</v>
      </c>
      <c r="AD48" s="54"/>
      <c r="AV48" s="209" t="s">
        <v>283</v>
      </c>
      <c r="AW48" s="210" t="s">
        <v>298</v>
      </c>
      <c r="AX48" s="211" t="s">
        <v>291</v>
      </c>
      <c r="AY48" s="212" t="s">
        <v>291</v>
      </c>
    </row>
    <row r="49" spans="1:51" s="2" customFormat="1" ht="21.75" hidden="1" customHeight="1" x14ac:dyDescent="0.15">
      <c r="A49" s="30"/>
      <c r="B49" s="223" t="s">
        <v>836</v>
      </c>
      <c r="C49" s="224" t="s">
        <v>861</v>
      </c>
      <c r="D49" s="218"/>
      <c r="E49" s="218"/>
      <c r="K49" s="2" t="s">
        <v>163</v>
      </c>
      <c r="L49" s="66" t="s">
        <v>156</v>
      </c>
      <c r="M49" s="100" t="s">
        <v>285</v>
      </c>
      <c r="N49" s="55">
        <v>1.7</v>
      </c>
      <c r="O49" s="107">
        <v>0.27</v>
      </c>
      <c r="P49" s="107">
        <v>0.18</v>
      </c>
      <c r="Q49" s="107">
        <v>7.0000000000000007E-2</v>
      </c>
      <c r="R49" s="56"/>
      <c r="T49" s="30" t="str">
        <f>IF(AND($G$7=$B$46,$I$7=$M49),"d","-")</f>
        <v>-</v>
      </c>
      <c r="U49" s="30" t="str">
        <f>IF(AND($G$8=$B$46,$I$8=$M49),"d","-")</f>
        <v>-</v>
      </c>
      <c r="V49" s="30" t="str">
        <f>IF(AND($G$9=$B$46,$I$9=$M49),"d","-")</f>
        <v>-</v>
      </c>
      <c r="W49" s="30" t="str">
        <f>IF(AND($G$10=$B$46,$I$10=$M49),"d","-")</f>
        <v>-</v>
      </c>
      <c r="X49" s="30" t="str">
        <f>IF(AND($G$11=$B$46,$I$11=$M49),"d","-")</f>
        <v>-</v>
      </c>
      <c r="Y49" s="30" t="str">
        <f>IF(AND($G$12=$B$46,$I$12=$M49),"d","-")</f>
        <v>-</v>
      </c>
      <c r="Z49" s="30" t="str">
        <f>IF(AND($G$13=$B$46,$I$13=$M49),"d","-")</f>
        <v>-</v>
      </c>
      <c r="AA49" s="30" t="str">
        <f>IF(AND($G$14=$B$46,$I$14=$M49),"d","-")</f>
        <v>-</v>
      </c>
      <c r="AB49" s="30" t="str">
        <f>IF(AND($G$15=$B$46,$I$15=$M49),"d","-")</f>
        <v>-</v>
      </c>
      <c r="AC49" s="30" t="str">
        <f>IF(AND($G$16=$B$46,$I$16=$M49),"d","-")</f>
        <v>-</v>
      </c>
      <c r="AD49" s="54"/>
      <c r="AV49" s="209" t="s">
        <v>284</v>
      </c>
      <c r="AW49" s="210" t="s">
        <v>290</v>
      </c>
      <c r="AX49" s="211" t="s">
        <v>299</v>
      </c>
      <c r="AY49" s="212" t="s">
        <v>299</v>
      </c>
    </row>
    <row r="50" spans="1:51" s="2" customFormat="1" ht="21.75" hidden="1" customHeight="1" x14ac:dyDescent="0.15">
      <c r="A50" s="30"/>
      <c r="B50" s="218"/>
      <c r="C50" s="218"/>
      <c r="D50" s="218"/>
      <c r="E50" s="218"/>
      <c r="K50" s="2" t="s">
        <v>164</v>
      </c>
      <c r="L50" s="66" t="s">
        <v>156</v>
      </c>
      <c r="M50" s="100" t="s">
        <v>286</v>
      </c>
      <c r="N50" s="55">
        <v>1.7</v>
      </c>
      <c r="O50" s="107">
        <v>0.42</v>
      </c>
      <c r="P50" s="107">
        <v>0.27</v>
      </c>
      <c r="Q50" s="107">
        <v>0.1</v>
      </c>
      <c r="R50" s="56"/>
      <c r="T50" s="30" t="str">
        <f>IF(AND($G$7=$B$46,$I$7=$M50),"e","-")</f>
        <v>-</v>
      </c>
      <c r="U50" s="30" t="str">
        <f>IF(AND($G$8=$B$46,$I$8=$M50),"e","-")</f>
        <v>-</v>
      </c>
      <c r="V50" s="30" t="str">
        <f>IF(AND($G$9=$B$46,$I$9=$M50),"e","-")</f>
        <v>-</v>
      </c>
      <c r="W50" s="30" t="str">
        <f>IF(AND($G$10=$B$46,$I$10=$M50),"e","-")</f>
        <v>-</v>
      </c>
      <c r="X50" s="30" t="str">
        <f>IF(AND($G$11=$B$46,$I$11=$M50),"e","-")</f>
        <v>-</v>
      </c>
      <c r="Y50" s="30" t="str">
        <f>IF(AND($G$12=$B$46,$I$12=$M50),"e","-")</f>
        <v>-</v>
      </c>
      <c r="Z50" s="30" t="str">
        <f>IF(AND($G$13=$B$46,$I$13=$M50),"e","-")</f>
        <v>-</v>
      </c>
      <c r="AA50" s="30" t="str">
        <f>IF(AND($G$14=$B$46,$I$14=$M50),"e","-")</f>
        <v>-</v>
      </c>
      <c r="AB50" s="30" t="str">
        <f>IF(AND($G$15=$B$46,$I$15=$M50),"e","-")</f>
        <v>-</v>
      </c>
      <c r="AC50" s="30" t="str">
        <f>IF(AND($G$16=$B$46,$I$16=$M50),"e","-")</f>
        <v>-</v>
      </c>
      <c r="AV50" s="209" t="s">
        <v>285</v>
      </c>
      <c r="AW50" s="210" t="s">
        <v>291</v>
      </c>
      <c r="AX50" s="211" t="s">
        <v>300</v>
      </c>
      <c r="AY50" s="212" t="s">
        <v>300</v>
      </c>
    </row>
    <row r="51" spans="1:51" s="2" customFormat="1" ht="21.75" hidden="1" customHeight="1" x14ac:dyDescent="0.15">
      <c r="A51" s="30"/>
      <c r="B51" s="218"/>
      <c r="C51" s="218"/>
      <c r="D51" s="218"/>
      <c r="E51" s="218"/>
      <c r="K51" s="2" t="s">
        <v>165</v>
      </c>
      <c r="L51" s="66" t="s">
        <v>156</v>
      </c>
      <c r="M51" s="100" t="s">
        <v>287</v>
      </c>
      <c r="N51" s="55">
        <v>1.7</v>
      </c>
      <c r="O51" s="107">
        <v>0.27</v>
      </c>
      <c r="P51" s="107">
        <v>0.18</v>
      </c>
      <c r="Q51" s="107">
        <v>7.0000000000000007E-2</v>
      </c>
      <c r="R51" s="56"/>
      <c r="T51" s="30" t="str">
        <f>IF(AND($G$7=$B$46,$I$7=$M51),"f","-")</f>
        <v>-</v>
      </c>
      <c r="U51" s="30" t="str">
        <f>IF(AND($G$8=$B$46,$I$8=$M51),"f","-")</f>
        <v>-</v>
      </c>
      <c r="V51" s="30" t="str">
        <f>IF(AND($G$9=$B$46,$I$9=$M51),"f","-")</f>
        <v>-</v>
      </c>
      <c r="W51" s="30" t="str">
        <f>IF(AND($G$10=$B$46,$I$10=$M51),"f","-")</f>
        <v>-</v>
      </c>
      <c r="X51" s="30" t="str">
        <f>IF(AND($G$11=$B$46,$I$11=$M51),"f","-")</f>
        <v>-</v>
      </c>
      <c r="Y51" s="30" t="str">
        <f>IF(AND($G$12=$B$46,$I$12=$M51),"f","-")</f>
        <v>-</v>
      </c>
      <c r="Z51" s="30" t="str">
        <f>IF(AND($G$13=$B$46,$I$13=$M51),"f","-")</f>
        <v>-</v>
      </c>
      <c r="AA51" s="30" t="str">
        <f>IF(AND($G$14=$B$46,$I$14=$M51),"f","-")</f>
        <v>-</v>
      </c>
      <c r="AB51" s="30" t="str">
        <f>IF(AND($G$15=$B$46,$I$15=$M51),"f","-")</f>
        <v>-</v>
      </c>
      <c r="AC51" s="30" t="str">
        <f>IF(AND($G$16=$B$46,$I$16=$M51),"f","-")</f>
        <v>-</v>
      </c>
      <c r="AV51" s="209" t="s">
        <v>286</v>
      </c>
      <c r="AW51" s="210" t="s">
        <v>311</v>
      </c>
      <c r="AX51" s="211" t="s">
        <v>313</v>
      </c>
      <c r="AY51" s="212" t="s">
        <v>304</v>
      </c>
    </row>
    <row r="52" spans="1:51" s="2" customFormat="1" ht="21.75" hidden="1" customHeight="1" x14ac:dyDescent="0.15">
      <c r="B52" s="218"/>
      <c r="C52" s="218"/>
      <c r="D52" s="218"/>
      <c r="E52" s="218"/>
      <c r="K52" s="2" t="s">
        <v>166</v>
      </c>
      <c r="L52" s="66" t="s">
        <v>156</v>
      </c>
      <c r="M52" s="100" t="s">
        <v>288</v>
      </c>
      <c r="N52" s="55">
        <v>1.9</v>
      </c>
      <c r="O52" s="107">
        <v>0.46</v>
      </c>
      <c r="P52" s="107">
        <v>0.27</v>
      </c>
      <c r="Q52" s="107">
        <v>0.11</v>
      </c>
      <c r="R52" s="56"/>
      <c r="T52" s="30" t="str">
        <f>IF(AND($G$7=$B$46,$I$7=$M52),"g","-")</f>
        <v>-</v>
      </c>
      <c r="U52" s="30" t="str">
        <f>IF(AND($G$8=$B$46,$I$8=$M52),"g","-")</f>
        <v>-</v>
      </c>
      <c r="V52" s="30" t="str">
        <f>IF(AND($G$9=$B$46,$I$9=$M52),"g","-")</f>
        <v>-</v>
      </c>
      <c r="W52" s="30" t="str">
        <f>IF(AND($G$10=$B$46,$I$10=$M52),"g","-")</f>
        <v>-</v>
      </c>
      <c r="X52" s="30" t="str">
        <f>IF(AND($G$11=$B$46,$I$11=$M52),"g","-")</f>
        <v>-</v>
      </c>
      <c r="Y52" s="30" t="str">
        <f>IF(AND($G$12=$B$46,$I$12=$M52),"g","-")</f>
        <v>-</v>
      </c>
      <c r="Z52" s="30" t="str">
        <f>IF(AND($G$13=$B$46,$I$13=$M52),"g","-")</f>
        <v>-</v>
      </c>
      <c r="AA52" s="30" t="str">
        <f>IF(AND($G$14=$B$46,$I$14=$M52),"g","-")</f>
        <v>-</v>
      </c>
      <c r="AB52" s="30" t="str">
        <f>IF(AND($G$15=$B$46,$I$15=$M52),"g","-")</f>
        <v>-</v>
      </c>
      <c r="AC52" s="30" t="str">
        <f>IF(AND($G$16=$B$46,$I$16=$M52),"g","-")</f>
        <v>-</v>
      </c>
      <c r="AV52" s="209" t="s">
        <v>287</v>
      </c>
      <c r="AW52" s="210" t="s">
        <v>312</v>
      </c>
      <c r="AX52" s="211" t="s">
        <v>314</v>
      </c>
      <c r="AY52" s="212" t="s">
        <v>305</v>
      </c>
    </row>
    <row r="53" spans="1:51" s="2" customFormat="1" ht="21.75" hidden="1" customHeight="1" x14ac:dyDescent="0.15">
      <c r="A53" s="55"/>
      <c r="B53" s="218"/>
      <c r="C53" s="218"/>
      <c r="D53" s="218"/>
      <c r="E53" s="218"/>
      <c r="F53" s="6"/>
      <c r="K53" s="2" t="s">
        <v>167</v>
      </c>
      <c r="L53" s="66" t="s">
        <v>156</v>
      </c>
      <c r="M53" s="100" t="s">
        <v>289</v>
      </c>
      <c r="N53" s="55">
        <v>1.9</v>
      </c>
      <c r="O53" s="107">
        <v>0.28999999999999998</v>
      </c>
      <c r="P53" s="107">
        <v>0.19</v>
      </c>
      <c r="Q53" s="107">
        <v>0.08</v>
      </c>
      <c r="R53" s="56"/>
      <c r="T53" s="30" t="str">
        <f>IF(AND($G$7=$B$46,$I$7=$M53),"h","-")</f>
        <v>-</v>
      </c>
      <c r="U53" s="30" t="str">
        <f>IF(AND($G$8=$B$46,$I$8=$M53),"h","-")</f>
        <v>-</v>
      </c>
      <c r="V53" s="30" t="str">
        <f>IF(AND($G$9=$B$46,$I$9=$M53),"h","-")</f>
        <v>-</v>
      </c>
      <c r="W53" s="30" t="str">
        <f>IF(AND($G$10=$B$46,$I$10=$M53),"h","-")</f>
        <v>-</v>
      </c>
      <c r="X53" s="30" t="str">
        <f>IF(AND($G$11=$B$46,$I$11=$M53),"h","-")</f>
        <v>-</v>
      </c>
      <c r="Y53" s="30" t="str">
        <f>IF(AND($G$12=$B$46,$I$12=$M53),"h","-")</f>
        <v>-</v>
      </c>
      <c r="Z53" s="30" t="str">
        <f>IF(AND($G$13=$B$46,$I$13=$M53),"h","-")</f>
        <v>-</v>
      </c>
      <c r="AA53" s="30" t="str">
        <f>IF(AND($G$14=$B$46,$I$14=$M53),"h","-")</f>
        <v>-</v>
      </c>
      <c r="AB53" s="30" t="str">
        <f>IF(AND($G$15=$B$46,$I$15=$M53),"h","-")</f>
        <v>-</v>
      </c>
      <c r="AC53" s="30" t="str">
        <f>IF(AND($G$16=$B$46,$I$16=$M53),"h","-")</f>
        <v>-</v>
      </c>
      <c r="AV53" s="209" t="s">
        <v>288</v>
      </c>
      <c r="AW53" s="210" t="s">
        <v>304</v>
      </c>
      <c r="AX53" s="211" t="s">
        <v>785</v>
      </c>
      <c r="AY53" s="212" t="s">
        <v>785</v>
      </c>
    </row>
    <row r="54" spans="1:51" s="2" customFormat="1" ht="21.75" hidden="1" customHeight="1" x14ac:dyDescent="0.15">
      <c r="A54" s="55"/>
      <c r="B54" s="218"/>
      <c r="C54" s="218"/>
      <c r="D54" s="218"/>
      <c r="E54" s="218"/>
      <c r="F54" s="6"/>
      <c r="K54" s="2" t="s">
        <v>168</v>
      </c>
      <c r="L54" s="66" t="s">
        <v>156</v>
      </c>
      <c r="M54" s="100" t="s">
        <v>290</v>
      </c>
      <c r="N54" s="55">
        <v>2.33</v>
      </c>
      <c r="O54" s="107">
        <v>0.46</v>
      </c>
      <c r="P54" s="107">
        <v>0.27</v>
      </c>
      <c r="Q54" s="107">
        <v>0.11</v>
      </c>
      <c r="R54" s="56"/>
      <c r="T54" s="30" t="str">
        <f>IF(AND($G$7=$B$46,$I$7=$M54),"i","-")</f>
        <v>-</v>
      </c>
      <c r="U54" s="30" t="str">
        <f>IF(AND($G$8=$B$46,$I$8=$M54),"i","-")</f>
        <v>-</v>
      </c>
      <c r="V54" s="30" t="str">
        <f>IF(AND($G$9=$B$46,$I$9=$M54),"i","-")</f>
        <v>-</v>
      </c>
      <c r="W54" s="30" t="str">
        <f>IF(AND($G$10=$B$46,$I$10=$M54),"i","-")</f>
        <v>-</v>
      </c>
      <c r="X54" s="30" t="str">
        <f>IF(AND($G$11=$B$46,$I$11=$M54),"i","-")</f>
        <v>-</v>
      </c>
      <c r="Y54" s="30" t="str">
        <f>IF(AND($G$12=$B$46,$I$12=$M54),"i","-")</f>
        <v>-</v>
      </c>
      <c r="Z54" s="30" t="str">
        <f>IF(AND($G$13=$B$46,$I$13=$M54),"i","-")</f>
        <v>-</v>
      </c>
      <c r="AA54" s="30" t="str">
        <f>IF(AND($G$14=$B$46,$I$14=$M54),"i","-")</f>
        <v>-</v>
      </c>
      <c r="AB54" s="30" t="str">
        <f>IF(AND($G$15=$B$46,$I$15=$M54),"i","-")</f>
        <v>-</v>
      </c>
      <c r="AC54" s="30" t="str">
        <f>IF(AND($G$16=$B$46,$I$16=$M54),"i","-")</f>
        <v>-</v>
      </c>
      <c r="AV54" s="209" t="s">
        <v>289</v>
      </c>
      <c r="AW54" s="210" t="s">
        <v>305</v>
      </c>
      <c r="AX54" s="211" t="s">
        <v>786</v>
      </c>
      <c r="AY54" s="212" t="s">
        <v>786</v>
      </c>
    </row>
    <row r="55" spans="1:51" s="2" customFormat="1" ht="21.75" hidden="1" customHeight="1" x14ac:dyDescent="0.15">
      <c r="A55" s="55"/>
      <c r="B55" s="218"/>
      <c r="C55" s="218"/>
      <c r="D55" s="218"/>
      <c r="E55" s="218"/>
      <c r="F55" s="6"/>
      <c r="K55" s="2" t="s">
        <v>169</v>
      </c>
      <c r="L55" s="66" t="s">
        <v>156</v>
      </c>
      <c r="M55" s="100" t="s">
        <v>291</v>
      </c>
      <c r="N55" s="55">
        <v>2.33</v>
      </c>
      <c r="O55" s="107">
        <v>0.28999999999999998</v>
      </c>
      <c r="P55" s="107">
        <v>0.19</v>
      </c>
      <c r="Q55" s="107">
        <v>0.08</v>
      </c>
      <c r="R55" s="56"/>
      <c r="T55" s="30" t="str">
        <f>IF(AND($G$7=$B$46,$I$7=$M55),"j","-")</f>
        <v>-</v>
      </c>
      <c r="U55" s="30" t="str">
        <f>IF(AND($G$8=$B$46,$I$8=$M55),"j","-")</f>
        <v>-</v>
      </c>
      <c r="V55" s="30" t="str">
        <f>IF(AND($G$9=$B$46,$I$9=$M55),"j","-")</f>
        <v>-</v>
      </c>
      <c r="W55" s="30" t="str">
        <f>IF(AND($G$10=$B$46,$I$10=$M55),"j","-")</f>
        <v>-</v>
      </c>
      <c r="X55" s="30" t="str">
        <f>IF(AND($G$11=$B$46,$I$11=$M55),"j","-")</f>
        <v>-</v>
      </c>
      <c r="Y55" s="30" t="str">
        <f>IF(AND($G$12=$B$46,$I$12=$M55),"j","-")</f>
        <v>-</v>
      </c>
      <c r="Z55" s="30" t="str">
        <f>IF(AND($G$13=$B$46,$I$13=$M55),"j","-")</f>
        <v>-</v>
      </c>
      <c r="AA55" s="30" t="str">
        <f>IF(AND($G$14=$B$46,$I$14=$M55),"j","-")</f>
        <v>-</v>
      </c>
      <c r="AB55" s="30" t="str">
        <f>IF(AND($G$15=$B$46,$I$15=$M55),"j","-")</f>
        <v>-</v>
      </c>
      <c r="AC55" s="30" t="str">
        <f>IF(AND($G$16=$B$46,$I$16=$M55),"j","-")</f>
        <v>-</v>
      </c>
      <c r="AV55" s="209" t="s">
        <v>290</v>
      </c>
      <c r="AW55" s="210" t="s">
        <v>785</v>
      </c>
      <c r="AX55" s="211" t="s">
        <v>292</v>
      </c>
      <c r="AY55" s="212" t="s">
        <v>292</v>
      </c>
    </row>
    <row r="56" spans="1:51" s="2" customFormat="1" ht="21.75" hidden="1" customHeight="1" x14ac:dyDescent="0.15">
      <c r="A56" s="55"/>
      <c r="B56" s="218"/>
      <c r="C56" s="218"/>
      <c r="D56" s="218"/>
      <c r="E56" s="218"/>
      <c r="F56" s="6"/>
      <c r="K56" s="2" t="s">
        <v>170</v>
      </c>
      <c r="L56" s="66" t="s">
        <v>156</v>
      </c>
      <c r="M56" s="100" t="s">
        <v>302</v>
      </c>
      <c r="N56" s="55">
        <v>2.33</v>
      </c>
      <c r="O56" s="107">
        <v>0.46</v>
      </c>
      <c r="P56" s="107">
        <v>0.27</v>
      </c>
      <c r="Q56" s="107">
        <v>0.11</v>
      </c>
      <c r="R56" s="56"/>
      <c r="T56" s="30" t="str">
        <f>IF(AND($G$7=$B$46,$I$7=$M56),"k","-")</f>
        <v>-</v>
      </c>
      <c r="U56" s="30" t="str">
        <f>IF(AND($G$8=$B$46,$I$8=$M56),"k","-")</f>
        <v>-</v>
      </c>
      <c r="V56" s="30" t="str">
        <f>IF(AND($G$9=$B$46,$I$9=$M56),"k","-")</f>
        <v>-</v>
      </c>
      <c r="W56" s="30" t="str">
        <f>IF(AND($G$10=$B$46,$I$10=$M56),"k","-")</f>
        <v>-</v>
      </c>
      <c r="X56" s="30" t="str">
        <f>IF(AND($G$11=$B$46,$I$11=$M56),"k","-")</f>
        <v>-</v>
      </c>
      <c r="Y56" s="30" t="str">
        <f>IF(AND($G$12=$B$46,$I$12=$M56),"k","-")</f>
        <v>-</v>
      </c>
      <c r="Z56" s="30" t="str">
        <f>IF(AND($G$13=$B$46,$I$13=$M56),"k","-")</f>
        <v>-</v>
      </c>
      <c r="AA56" s="30" t="str">
        <f>IF(AND($G$14=$B$46,$I$14=$M56),"k","-")</f>
        <v>-</v>
      </c>
      <c r="AB56" s="30" t="str">
        <f>IF(AND($G$15=$B$46,$I$15=$M56),"k","-")</f>
        <v>-</v>
      </c>
      <c r="AC56" s="30" t="str">
        <f>IF(AND($G$16=$B$46,$I$16=$M56),"k","-")</f>
        <v>-</v>
      </c>
      <c r="AV56" s="209" t="s">
        <v>291</v>
      </c>
      <c r="AW56" s="210" t="s">
        <v>786</v>
      </c>
      <c r="AX56" s="211" t="s">
        <v>293</v>
      </c>
      <c r="AY56" s="212" t="s">
        <v>293</v>
      </c>
    </row>
    <row r="57" spans="1:51" s="2" customFormat="1" ht="21.75" hidden="1" customHeight="1" x14ac:dyDescent="0.15">
      <c r="A57" s="55"/>
      <c r="B57" s="218"/>
      <c r="C57" s="218"/>
      <c r="D57" s="218"/>
      <c r="E57" s="218"/>
      <c r="F57" s="6"/>
      <c r="K57" s="2" t="s">
        <v>171</v>
      </c>
      <c r="L57" s="66" t="s">
        <v>156</v>
      </c>
      <c r="M57" s="100" t="s">
        <v>303</v>
      </c>
      <c r="N57" s="55">
        <v>2.33</v>
      </c>
      <c r="O57" s="107">
        <v>0.28999999999999998</v>
      </c>
      <c r="P57" s="107">
        <v>0.19</v>
      </c>
      <c r="Q57" s="107">
        <v>0.08</v>
      </c>
      <c r="R57" s="56"/>
      <c r="T57" s="30" t="str">
        <f>IF(AND($G$7=$B$46,$I$7=$M57),"l","-")</f>
        <v>-</v>
      </c>
      <c r="U57" s="30" t="str">
        <f>IF(AND($G$8=$B$46,$I$8=$M57),"l","-")</f>
        <v>-</v>
      </c>
      <c r="V57" s="30" t="str">
        <f>IF(AND($G$9=$B$46,$I$9=$M57),"l","-")</f>
        <v>-</v>
      </c>
      <c r="W57" s="30" t="str">
        <f>IF(AND($G$10=$B$46,$I$10=$M57),"l","-")</f>
        <v>-</v>
      </c>
      <c r="X57" s="30" t="str">
        <f>IF(AND($G$11=$B$46,$I$11=$M57),"l","-")</f>
        <v>-</v>
      </c>
      <c r="Y57" s="30" t="str">
        <f>IF(AND($G$12=$B$46,$I$12=$M57),"l","-")</f>
        <v>-</v>
      </c>
      <c r="Z57" s="30" t="str">
        <f>IF(AND($G$13=$B$46,$I$13=$M57),"l","-")</f>
        <v>-</v>
      </c>
      <c r="AA57" s="30" t="str">
        <f>IF(AND($G$14=$B$46,$I$14=$M57),"l","-")</f>
        <v>-</v>
      </c>
      <c r="AB57" s="30" t="str">
        <f>IF(AND($G$15=$B$46,$I$15=$M57),"l","-")</f>
        <v>-</v>
      </c>
      <c r="AC57" s="30" t="str">
        <f>IF(AND($G$16=$B$46,$I$16=$M57),"l","-")</f>
        <v>-</v>
      </c>
      <c r="AV57" s="209" t="s">
        <v>302</v>
      </c>
      <c r="AW57" s="210" t="s">
        <v>292</v>
      </c>
      <c r="AX57" s="211" t="s">
        <v>294</v>
      </c>
      <c r="AY57" s="212" t="s">
        <v>294</v>
      </c>
    </row>
    <row r="58" spans="1:51" s="2" customFormat="1" ht="21.75" hidden="1" customHeight="1" x14ac:dyDescent="0.15">
      <c r="A58" s="55"/>
      <c r="B58" s="218"/>
      <c r="C58" s="218"/>
      <c r="D58" s="218"/>
      <c r="E58" s="218"/>
      <c r="F58" s="6"/>
      <c r="K58" s="2" t="s">
        <v>172</v>
      </c>
      <c r="L58" s="66" t="s">
        <v>156</v>
      </c>
      <c r="M58" s="100" t="s">
        <v>292</v>
      </c>
      <c r="N58" s="55">
        <v>2.91</v>
      </c>
      <c r="O58" s="107">
        <v>0.44</v>
      </c>
      <c r="P58" s="107">
        <v>0.24</v>
      </c>
      <c r="Q58" s="107">
        <v>0.1</v>
      </c>
      <c r="R58" s="56"/>
      <c r="T58" s="30" t="str">
        <f>IF(AND($G$7=$B$46,$I$7=$M58),"m","-")</f>
        <v>-</v>
      </c>
      <c r="U58" s="30" t="str">
        <f>IF(AND($G$8=$B$46,$I$8=$M58),"m","-")</f>
        <v>-</v>
      </c>
      <c r="V58" s="30" t="str">
        <f>IF(AND($G$9=$B$46,$I$9=$M58),"m","-")</f>
        <v>-</v>
      </c>
      <c r="W58" s="30" t="str">
        <f>IF(AND($G$10=$B$46,$I$10=$M58),"m","-")</f>
        <v>-</v>
      </c>
      <c r="X58" s="30" t="str">
        <f>IF(AND($G$11=$B$46,$I$11=$M58),"m","-")</f>
        <v>-</v>
      </c>
      <c r="Y58" s="30" t="str">
        <f>IF(AND($G$12=$B$46,$I$12=$M58),"m","-")</f>
        <v>-</v>
      </c>
      <c r="Z58" s="30" t="str">
        <f>IF(AND($G$13=$B$46,$I$13=$M58),"m","-")</f>
        <v>-</v>
      </c>
      <c r="AA58" s="30" t="str">
        <f>IF(AND($G$14=$B$46,$I$14=$M58),"m","-")</f>
        <v>-</v>
      </c>
      <c r="AB58" s="30" t="str">
        <f>IF(AND($G$15=$B$46,$I$15=$M58),"m","-")</f>
        <v>-</v>
      </c>
      <c r="AC58" s="30" t="str">
        <f>IF(AND($G$16=$B$46,$I$16=$M58),"m","-")</f>
        <v>-</v>
      </c>
      <c r="AV58" s="209" t="s">
        <v>303</v>
      </c>
      <c r="AW58" s="210" t="s">
        <v>293</v>
      </c>
      <c r="AX58" s="211" t="s">
        <v>295</v>
      </c>
      <c r="AY58" s="212" t="s">
        <v>295</v>
      </c>
    </row>
    <row r="59" spans="1:51" s="2" customFormat="1" ht="21.75" hidden="1" customHeight="1" x14ac:dyDescent="0.15">
      <c r="A59" s="55"/>
      <c r="B59" s="218"/>
      <c r="C59" s="218"/>
      <c r="D59" s="218"/>
      <c r="E59" s="218"/>
      <c r="F59" s="6"/>
      <c r="K59" s="2" t="s">
        <v>173</v>
      </c>
      <c r="L59" s="66" t="s">
        <v>156</v>
      </c>
      <c r="M59" s="100" t="s">
        <v>293</v>
      </c>
      <c r="N59" s="55">
        <v>2.91</v>
      </c>
      <c r="O59" s="107">
        <v>0.27</v>
      </c>
      <c r="P59" s="107">
        <v>0.17</v>
      </c>
      <c r="Q59" s="107">
        <v>7.0000000000000007E-2</v>
      </c>
      <c r="R59" s="56"/>
      <c r="T59" s="30" t="str">
        <f>IF(AND($G$7=$B$46,$I$7=$M59),"n","-")</f>
        <v>-</v>
      </c>
      <c r="U59" s="30" t="str">
        <f>IF(AND($G$8=$B$46,$I$8=$M59),"n","-")</f>
        <v>-</v>
      </c>
      <c r="V59" s="30" t="str">
        <f>IF(AND($G$9=$B$46,$I$9=$M59),"n","-")</f>
        <v>-</v>
      </c>
      <c r="W59" s="30" t="str">
        <f>IF(AND($G$10=$B$46,$I$10=$M59),"n","-")</f>
        <v>-</v>
      </c>
      <c r="X59" s="30" t="str">
        <f>IF(AND($G$11=$B$46,$I$11=$M59),"n","-")</f>
        <v>-</v>
      </c>
      <c r="Y59" s="30" t="str">
        <f>IF(AND($G$12=$B$46,$I$12=$M59),"n","-")</f>
        <v>-</v>
      </c>
      <c r="Z59" s="30" t="str">
        <f>IF(AND($G$13=$B$46,$I$13=$M59),"n","-")</f>
        <v>-</v>
      </c>
      <c r="AA59" s="30" t="str">
        <f>IF(AND($G$14=$B$46,$I$14=$M59),"n","-")</f>
        <v>-</v>
      </c>
      <c r="AB59" s="30" t="str">
        <f>IF(AND($G$15=$B$46,$I$15=$M59),"n","-")</f>
        <v>-</v>
      </c>
      <c r="AC59" s="30" t="str">
        <f>IF(AND($G$16=$B$46,$I$16=$M59),"n","-")</f>
        <v>-</v>
      </c>
      <c r="AV59" s="209" t="s">
        <v>292</v>
      </c>
      <c r="AW59" s="210" t="s">
        <v>294</v>
      </c>
      <c r="AX59" s="211" t="s">
        <v>296</v>
      </c>
      <c r="AY59" s="212" t="s">
        <v>296</v>
      </c>
    </row>
    <row r="60" spans="1:51" s="2" customFormat="1" ht="21.75" hidden="1" customHeight="1" x14ac:dyDescent="0.15">
      <c r="B60" s="218"/>
      <c r="C60" s="218"/>
      <c r="D60" s="218"/>
      <c r="E60" s="218"/>
      <c r="F60" s="6"/>
      <c r="G60" s="6"/>
      <c r="H60" s="6"/>
      <c r="I60" s="6"/>
      <c r="K60" s="2" t="s">
        <v>174</v>
      </c>
      <c r="L60" s="66" t="s">
        <v>156</v>
      </c>
      <c r="M60" s="100" t="s">
        <v>294</v>
      </c>
      <c r="N60" s="55">
        <v>2.91</v>
      </c>
      <c r="O60" s="107">
        <v>0.12</v>
      </c>
      <c r="P60" s="107">
        <v>0.09</v>
      </c>
      <c r="Q60" s="107">
        <v>0.04</v>
      </c>
      <c r="R60" s="56"/>
      <c r="T60" s="30" t="str">
        <f>IF(AND($G$7=$B$46,$I$7=$M60),"o","-")</f>
        <v>-</v>
      </c>
      <c r="U60" s="30" t="str">
        <f>IF(AND($G$8=$B$46,$I$8=$M60),"o","-")</f>
        <v>-</v>
      </c>
      <c r="V60" s="30" t="str">
        <f>IF(AND($G$9=$B$46,$I$9=$M60),"o","-")</f>
        <v>-</v>
      </c>
      <c r="W60" s="30" t="str">
        <f>IF(AND($G$10=$B$46,$I$10=$M60),"o","-")</f>
        <v>-</v>
      </c>
      <c r="X60" s="30" t="str">
        <f>IF(AND($G$11=$B$46,$I$11=$M60),"o","-")</f>
        <v>-</v>
      </c>
      <c r="Y60" s="30" t="str">
        <f>IF(AND($G$12=$B$46,$I$12=$M60),"o","-")</f>
        <v>-</v>
      </c>
      <c r="Z60" s="30" t="str">
        <f>IF(AND($G$13=$B$46,$I$13=$M60),"o","-")</f>
        <v>-</v>
      </c>
      <c r="AA60" s="30" t="str">
        <f>IF(AND($G$14=$B$46,$I$14=$M60),"o","-")</f>
        <v>-</v>
      </c>
      <c r="AB60" s="30" t="str">
        <f>IF(AND($G$15=$B$46,$I$15=$M60),"o","-")</f>
        <v>-</v>
      </c>
      <c r="AC60" s="30" t="str">
        <f>IF(AND($G$16=$B$46,$I$16=$M60),"o","-")</f>
        <v>-</v>
      </c>
      <c r="AV60" s="209" t="s">
        <v>293</v>
      </c>
      <c r="AW60" s="210" t="s">
        <v>295</v>
      </c>
      <c r="AX60" s="211" t="s">
        <v>306</v>
      </c>
      <c r="AY60" s="212" t="s">
        <v>315</v>
      </c>
    </row>
    <row r="61" spans="1:51" s="2" customFormat="1" ht="21.75" hidden="1" customHeight="1" x14ac:dyDescent="0.15">
      <c r="A61" s="55"/>
      <c r="B61" s="218"/>
      <c r="C61" s="218"/>
      <c r="D61" s="218"/>
      <c r="E61" s="218"/>
      <c r="F61" s="104"/>
      <c r="G61" s="104"/>
      <c r="H61" s="104"/>
      <c r="I61" s="104"/>
      <c r="K61" s="2" t="s">
        <v>175</v>
      </c>
      <c r="L61" s="66" t="s">
        <v>156</v>
      </c>
      <c r="M61" s="100" t="s">
        <v>295</v>
      </c>
      <c r="N61" s="55">
        <v>2.91</v>
      </c>
      <c r="O61" s="107">
        <v>0.37</v>
      </c>
      <c r="P61" s="107">
        <v>0.2</v>
      </c>
      <c r="Q61" s="107">
        <v>0.09</v>
      </c>
      <c r="R61" s="56"/>
      <c r="T61" s="30" t="str">
        <f>IF(AND($G$7=$B$46,$I$7=$M61),"p","-")</f>
        <v>-</v>
      </c>
      <c r="U61" s="30" t="str">
        <f>IF(AND($G$8=$B$46,$I$8=$M61),"p","-")</f>
        <v>-</v>
      </c>
      <c r="V61" s="30" t="str">
        <f>IF(AND($G$9=$B$46,$I$9=$M61),"p","-")</f>
        <v>-</v>
      </c>
      <c r="W61" s="30" t="str">
        <f>IF(AND($G$10=$B$46,$I$10=$M61),"p","-")</f>
        <v>-</v>
      </c>
      <c r="X61" s="30" t="str">
        <f>IF(AND($G$11=$B$46,$I$11=$M61),"p","-")</f>
        <v>-</v>
      </c>
      <c r="Y61" s="30" t="str">
        <f>IF(AND($G$12=$B$46,$I$12=$M61),"p","-")</f>
        <v>-</v>
      </c>
      <c r="Z61" s="30" t="str">
        <f>IF(AND($G$13=$B$46,$I$13=$M61),"p","-")</f>
        <v>-</v>
      </c>
      <c r="AA61" s="30" t="str">
        <f>IF(AND($G$14=$B$46,$I$14=$M61),"p","-")</f>
        <v>-</v>
      </c>
      <c r="AB61" s="30" t="str">
        <f>IF(AND($G$15=$B$46,$I$15=$M61),"p","-")</f>
        <v>-</v>
      </c>
      <c r="AC61" s="30" t="str">
        <f>IF(AND($G$16=$B$46,$I$16=$M61),"p","-")</f>
        <v>-</v>
      </c>
      <c r="AV61" s="209" t="s">
        <v>294</v>
      </c>
      <c r="AW61" s="210" t="s">
        <v>296</v>
      </c>
      <c r="AX61" s="211" t="s">
        <v>307</v>
      </c>
      <c r="AY61" s="212" t="s">
        <v>316</v>
      </c>
    </row>
    <row r="62" spans="1:51" s="2" customFormat="1" ht="21.75" hidden="1" customHeight="1" x14ac:dyDescent="0.15">
      <c r="A62" s="30"/>
      <c r="B62" s="218"/>
      <c r="C62" s="218"/>
      <c r="D62" s="218"/>
      <c r="E62" s="218"/>
      <c r="F62" s="55"/>
      <c r="G62" s="55"/>
      <c r="H62" s="55"/>
      <c r="I62" s="112"/>
      <c r="K62" s="2" t="s">
        <v>176</v>
      </c>
      <c r="L62" s="66" t="s">
        <v>156</v>
      </c>
      <c r="M62" s="100" t="s">
        <v>296</v>
      </c>
      <c r="N62" s="55">
        <v>2.91</v>
      </c>
      <c r="O62" s="107">
        <v>0.56999999999999995</v>
      </c>
      <c r="P62" s="107">
        <v>0.27</v>
      </c>
      <c r="Q62" s="107">
        <v>0.12</v>
      </c>
      <c r="R62" s="56"/>
      <c r="T62" s="30" t="str">
        <f>IF(AND($G$7=$B$46,$I$7=$M62),"q","-")</f>
        <v>-</v>
      </c>
      <c r="U62" s="30" t="str">
        <f>IF(AND($G$8=$B$46,$I$8=$M62),"q","-")</f>
        <v>-</v>
      </c>
      <c r="V62" s="30" t="str">
        <f>IF(AND($G$9=$B$46,$I$9=$M62),"q","-")</f>
        <v>-</v>
      </c>
      <c r="W62" s="30" t="str">
        <f>IF(AND($G$10=$B$46,$I$10=$M62),"q","-")</f>
        <v>-</v>
      </c>
      <c r="X62" s="30" t="str">
        <f>IF(AND($G$11=$B$46,$I$11=$M62),"q","-")</f>
        <v>-</v>
      </c>
      <c r="Y62" s="30" t="str">
        <f>IF(AND($G$12=$B$46,$I$12=$M62),"q","-")</f>
        <v>-</v>
      </c>
      <c r="Z62" s="30" t="str">
        <f>IF(AND($G$13=$B$46,$I$13=$M62),"q","-")</f>
        <v>-</v>
      </c>
      <c r="AA62" s="30" t="str">
        <f>IF(AND($G$14=$B$46,$I$14=$M62),"q","-")</f>
        <v>-</v>
      </c>
      <c r="AB62" s="30" t="str">
        <f>IF(AND($G$15=$B$46,$I$15=$M62),"q","-")</f>
        <v>-</v>
      </c>
      <c r="AC62" s="30" t="str">
        <f>IF(AND($G$16=$B$46,$I$16=$M62),"q","-")</f>
        <v>-</v>
      </c>
      <c r="AV62" s="209" t="s">
        <v>295</v>
      </c>
      <c r="AW62" s="210" t="s">
        <v>306</v>
      </c>
      <c r="AX62" s="211" t="s">
        <v>308</v>
      </c>
      <c r="AY62" s="212" t="s">
        <v>317</v>
      </c>
    </row>
    <row r="63" spans="1:51" s="2" customFormat="1" ht="21.75" hidden="1" customHeight="1" x14ac:dyDescent="0.15">
      <c r="A63" s="56"/>
      <c r="B63" s="218"/>
      <c r="C63" s="218"/>
      <c r="D63" s="218"/>
      <c r="E63" s="218"/>
      <c r="F63" s="55"/>
      <c r="G63" s="55"/>
      <c r="H63" s="55"/>
      <c r="I63" s="112"/>
      <c r="K63" s="2" t="s">
        <v>177</v>
      </c>
      <c r="L63" s="66" t="s">
        <v>156</v>
      </c>
      <c r="M63" s="100" t="s">
        <v>304</v>
      </c>
      <c r="N63" s="55">
        <v>2.91</v>
      </c>
      <c r="O63" s="107">
        <v>0.46</v>
      </c>
      <c r="P63" s="107">
        <v>0.27</v>
      </c>
      <c r="Q63" s="107">
        <v>0.11</v>
      </c>
      <c r="R63" s="56"/>
      <c r="T63" s="30" t="str">
        <f>IF(AND($G$7=$B$46,$I$7=$M63),"r","-")</f>
        <v>-</v>
      </c>
      <c r="U63" s="30" t="str">
        <f>IF(AND($G$8=$B$46,$I$8=$M63),"r","-")</f>
        <v>-</v>
      </c>
      <c r="V63" s="30" t="str">
        <f>IF(AND($G$9=$B$46,$I$9=$M63),"r","-")</f>
        <v>-</v>
      </c>
      <c r="W63" s="30" t="str">
        <f>IF(AND($G$10=$B$46,$I$10=$M63),"r","-")</f>
        <v>-</v>
      </c>
      <c r="X63" s="30" t="str">
        <f>IF(AND($G$11=$B$46,$I$11=$M63),"r","-")</f>
        <v>-</v>
      </c>
      <c r="Y63" s="30" t="str">
        <f>IF(AND($G$12=$B$46,$I$12=$M63),"r","-")</f>
        <v>-</v>
      </c>
      <c r="Z63" s="30" t="str">
        <f>IF(AND($G$13=$B$46,$I$13=$M63),"r","-")</f>
        <v>-</v>
      </c>
      <c r="AA63" s="30" t="str">
        <f>IF(AND($G$14=$B$46,$I$14=$M63),"r","-")</f>
        <v>-</v>
      </c>
      <c r="AB63" s="30" t="str">
        <f>IF(AND($G$15=$B$46,$I$15=$M63),"r","-")</f>
        <v>-</v>
      </c>
      <c r="AC63" s="30" t="str">
        <f>IF(AND($G$16=$B$46,$I$16=$M63),"r","-")</f>
        <v>-</v>
      </c>
      <c r="AV63" s="209" t="s">
        <v>296</v>
      </c>
      <c r="AW63" s="210" t="s">
        <v>307</v>
      </c>
      <c r="AX63" s="211" t="s">
        <v>309</v>
      </c>
      <c r="AY63" s="212" t="s">
        <v>318</v>
      </c>
    </row>
    <row r="64" spans="1:51" s="2" customFormat="1" ht="21.75" hidden="1" customHeight="1" x14ac:dyDescent="0.15">
      <c r="A64" s="30"/>
      <c r="B64" s="218"/>
      <c r="C64" s="218"/>
      <c r="D64" s="218"/>
      <c r="E64" s="218"/>
      <c r="F64" s="55"/>
      <c r="G64" s="55"/>
      <c r="H64" s="55"/>
      <c r="I64" s="112"/>
      <c r="K64" s="2" t="s">
        <v>178</v>
      </c>
      <c r="L64" s="66" t="s">
        <v>156</v>
      </c>
      <c r="M64" s="100" t="s">
        <v>305</v>
      </c>
      <c r="N64" s="55">
        <v>2.91</v>
      </c>
      <c r="O64" s="107">
        <v>0.28999999999999998</v>
      </c>
      <c r="P64" s="107">
        <v>0.19</v>
      </c>
      <c r="Q64" s="107">
        <v>0.08</v>
      </c>
      <c r="R64" s="56"/>
      <c r="T64" s="30" t="str">
        <f>IF(AND($G$7=$B$46,$I$7=$M64),"s","-")</f>
        <v>-</v>
      </c>
      <c r="U64" s="30" t="str">
        <f>IF(AND($G$8=$B$46,$I$8=$M64),"s","-")</f>
        <v>-</v>
      </c>
      <c r="V64" s="30" t="str">
        <f>IF(AND($G$9=$B$46,$I$9=$M64),"s","-")</f>
        <v>-</v>
      </c>
      <c r="W64" s="30" t="str">
        <f>IF(AND($G$10=$B$46,$I$10=$M64),"s","-")</f>
        <v>-</v>
      </c>
      <c r="X64" s="30" t="str">
        <f>IF(AND($G$11=$B$46,$I$11=$M64),"s","-")</f>
        <v>-</v>
      </c>
      <c r="Y64" s="30" t="str">
        <f>IF(AND($G$12=$B$46,$I$12=$M64),"s","-")</f>
        <v>-</v>
      </c>
      <c r="Z64" s="30" t="str">
        <f>IF(AND($G$13=$B$46,$I$13=$M64),"s","-")</f>
        <v>-</v>
      </c>
      <c r="AA64" s="30" t="str">
        <f>IF(AND($G$14=$B$46,$I$14=$M64),"s","-")</f>
        <v>-</v>
      </c>
      <c r="AB64" s="30" t="str">
        <f>IF(AND($G$15=$B$46,$I$15=$M64),"s","-")</f>
        <v>-</v>
      </c>
      <c r="AC64" s="30" t="str">
        <f>IF(AND($G$16=$B$46,$I$16=$M64),"s","-")</f>
        <v>-</v>
      </c>
      <c r="AV64" s="209" t="s">
        <v>304</v>
      </c>
      <c r="AW64" s="210" t="s">
        <v>308</v>
      </c>
      <c r="AX64" s="211" t="s">
        <v>310</v>
      </c>
      <c r="AY64" s="212" t="s">
        <v>319</v>
      </c>
    </row>
    <row r="65" spans="1:51" s="2" customFormat="1" ht="21.75" hidden="1" customHeight="1" x14ac:dyDescent="0.15">
      <c r="A65" s="56"/>
      <c r="B65" s="218"/>
      <c r="C65" s="218"/>
      <c r="D65" s="219"/>
      <c r="E65" s="218"/>
      <c r="F65" s="55"/>
      <c r="G65" s="55"/>
      <c r="H65" s="55"/>
      <c r="I65" s="112"/>
      <c r="K65" s="2" t="s">
        <v>179</v>
      </c>
      <c r="L65" s="66" t="s">
        <v>156</v>
      </c>
      <c r="M65" s="100" t="s">
        <v>785</v>
      </c>
      <c r="N65" s="55">
        <v>2.91</v>
      </c>
      <c r="O65" s="107">
        <v>0.46</v>
      </c>
      <c r="P65" s="107">
        <v>0.27</v>
      </c>
      <c r="Q65" s="107">
        <v>0.11</v>
      </c>
      <c r="R65" s="56"/>
      <c r="T65" s="30" t="str">
        <f>IF(AND($G$7=$B$46,$I$7=$M65),"t","-")</f>
        <v>-</v>
      </c>
      <c r="U65" s="30" t="str">
        <f>IF(AND($G$8=$B$46,$I$8=$M65),"t","-")</f>
        <v>-</v>
      </c>
      <c r="V65" s="30" t="str">
        <f>IF(AND($G$9=$B$46,$I$9=$M65),"t","-")</f>
        <v>-</v>
      </c>
      <c r="W65" s="30" t="str">
        <f>IF(AND($G$10=$B$46,$I$10=$M65),"t","-")</f>
        <v>-</v>
      </c>
      <c r="X65" s="30" t="str">
        <f>IF(AND($G$11=$B$46,$I$11=$M65),"t","-")</f>
        <v>-</v>
      </c>
      <c r="Y65" s="30" t="str">
        <f>IF(AND($G$12=$B$46,$I$12=$M65),"t","-")</f>
        <v>-</v>
      </c>
      <c r="Z65" s="30" t="str">
        <f>IF(AND($G$13=$B$46,$I$13=$M65),"t","-")</f>
        <v>-</v>
      </c>
      <c r="AA65" s="30" t="str">
        <f>IF(AND($G$14=$B$46,$I$14=$M65),"t","-")</f>
        <v>-</v>
      </c>
      <c r="AB65" s="30" t="str">
        <f>IF(AND($G$15=$B$46,$I$15=$M65),"t","-")</f>
        <v>-</v>
      </c>
      <c r="AC65" s="30" t="str">
        <f>IF(AND($G$16=$B$46,$I$16=$M65),"t","-")</f>
        <v>-</v>
      </c>
      <c r="AV65" s="209" t="s">
        <v>305</v>
      </c>
      <c r="AW65" s="210" t="s">
        <v>309</v>
      </c>
      <c r="AX65" s="213"/>
      <c r="AY65" s="212" t="s">
        <v>301</v>
      </c>
    </row>
    <row r="66" spans="1:51" s="2" customFormat="1" ht="21.75" hidden="1" customHeight="1" x14ac:dyDescent="0.15">
      <c r="A66" s="30"/>
      <c r="B66" s="218"/>
      <c r="C66" s="218"/>
      <c r="D66" s="219"/>
      <c r="E66" s="218"/>
      <c r="F66" s="55"/>
      <c r="G66" s="55"/>
      <c r="H66" s="55"/>
      <c r="I66" s="112"/>
      <c r="K66" s="2" t="s">
        <v>180</v>
      </c>
      <c r="L66" s="66" t="s">
        <v>156</v>
      </c>
      <c r="M66" s="100" t="s">
        <v>786</v>
      </c>
      <c r="N66" s="55">
        <v>2.91</v>
      </c>
      <c r="O66" s="107">
        <v>0.28999999999999998</v>
      </c>
      <c r="P66" s="107">
        <v>0.19</v>
      </c>
      <c r="Q66" s="107">
        <v>0.08</v>
      </c>
      <c r="R66" s="56"/>
      <c r="T66" s="30" t="str">
        <f>IF(AND($G$7=$B$46,$I$7=$M66),"u","-")</f>
        <v>-</v>
      </c>
      <c r="U66" s="30" t="str">
        <f>IF(AND($G$8=$B$46,$I$8=$M66),"u","-")</f>
        <v>-</v>
      </c>
      <c r="V66" s="30" t="str">
        <f>IF(AND($G$9=$B$46,$I$9=$M66),"u","-")</f>
        <v>-</v>
      </c>
      <c r="W66" s="30" t="str">
        <f>IF(AND($G$10=$B$46,$I$10=$M66),"u","-")</f>
        <v>-</v>
      </c>
      <c r="X66" s="30" t="str">
        <f>IF(AND($G$11=$B$46,$I$11=$M66),"u","-")</f>
        <v>-</v>
      </c>
      <c r="Y66" s="30" t="str">
        <f>IF(AND($G$12=$B$46,$I$12=$M66),"u","-")</f>
        <v>-</v>
      </c>
      <c r="Z66" s="30" t="str">
        <f>IF(AND($G$13=$B$46,$I$13=$M66),"u","-")</f>
        <v>-</v>
      </c>
      <c r="AA66" s="30" t="str">
        <f>IF(AND($G$14=$B$46,$I$14=$M66),"u","-")</f>
        <v>-</v>
      </c>
      <c r="AB66" s="30" t="str">
        <f>IF(AND($G$15=$B$46,$I$15=$M66),"u","-")</f>
        <v>-</v>
      </c>
      <c r="AC66" s="30" t="str">
        <f>IF(AND($G$16=$B$46,$I$16=$M66),"u","-")</f>
        <v>-</v>
      </c>
      <c r="AV66" s="209" t="s">
        <v>785</v>
      </c>
      <c r="AW66" s="210" t="s">
        <v>310</v>
      </c>
      <c r="AX66" s="213"/>
      <c r="AY66" s="212" t="s">
        <v>320</v>
      </c>
    </row>
    <row r="67" spans="1:51" s="2" customFormat="1" ht="21.75" hidden="1" customHeight="1" x14ac:dyDescent="0.15">
      <c r="A67" s="56"/>
      <c r="B67" s="218"/>
      <c r="C67" s="217"/>
      <c r="D67" s="219"/>
      <c r="E67" s="218"/>
      <c r="F67" s="55"/>
      <c r="G67" s="55"/>
      <c r="H67" s="55"/>
      <c r="I67" s="112"/>
      <c r="K67" s="2" t="s">
        <v>181</v>
      </c>
      <c r="L67" s="66" t="s">
        <v>156</v>
      </c>
      <c r="M67" s="100" t="s">
        <v>306</v>
      </c>
      <c r="N67" s="55">
        <v>3.49</v>
      </c>
      <c r="O67" s="107">
        <v>0.44</v>
      </c>
      <c r="P67" s="107">
        <v>0.24</v>
      </c>
      <c r="Q67" s="107">
        <v>0.1</v>
      </c>
      <c r="R67" s="56"/>
      <c r="T67" s="30" t="str">
        <f>IF(AND($G$7=$B$46,$I$7=$M67),"v","-")</f>
        <v>-</v>
      </c>
      <c r="U67" s="30" t="str">
        <f>IF(AND($G$8=$B$46,$I$8=$M67),"v","-")</f>
        <v>-</v>
      </c>
      <c r="V67" s="30" t="str">
        <f>IF(AND($G$9=$B$46,$I$9=$M67),"v","-")</f>
        <v>-</v>
      </c>
      <c r="W67" s="30" t="str">
        <f>IF(AND($G$10=$B$46,$I$10=$M67),"v","-")</f>
        <v>-</v>
      </c>
      <c r="X67" s="30" t="str">
        <f>IF(AND($G$11=$B$46,$I$11=$M67),"v","-")</f>
        <v>-</v>
      </c>
      <c r="Y67" s="30" t="str">
        <f>IF(AND($G$12=$B$46,$I$12=$M67),"v","-")</f>
        <v>-</v>
      </c>
      <c r="Z67" s="30" t="str">
        <f>IF(AND($G$13=$B$46,$I$13=$M67),"v","-")</f>
        <v>-</v>
      </c>
      <c r="AA67" s="30" t="str">
        <f>IF(AND($G$14=$B$46,$I$14=$M67),"v","-")</f>
        <v>-</v>
      </c>
      <c r="AB67" s="30" t="str">
        <f>IF(AND($G$15=$B$46,$I$15=$M67),"v","-")</f>
        <v>-</v>
      </c>
      <c r="AC67" s="30" t="str">
        <f>IF(AND($G$16=$B$46,$I$16=$M67),"v","-")</f>
        <v>-</v>
      </c>
      <c r="AV67" s="209" t="s">
        <v>786</v>
      </c>
      <c r="AW67" s="214"/>
      <c r="AX67" s="213"/>
      <c r="AY67" s="212" t="s">
        <v>321</v>
      </c>
    </row>
    <row r="68" spans="1:51" s="3" customFormat="1" ht="21.75" hidden="1" customHeight="1" x14ac:dyDescent="0.15">
      <c r="A68" s="30"/>
      <c r="B68" s="218"/>
      <c r="C68" s="217"/>
      <c r="D68" s="219"/>
      <c r="E68" s="218"/>
      <c r="F68" s="55"/>
      <c r="G68" s="55"/>
      <c r="H68" s="55"/>
      <c r="I68" s="112"/>
      <c r="K68" s="2" t="s">
        <v>182</v>
      </c>
      <c r="L68" s="66" t="s">
        <v>156</v>
      </c>
      <c r="M68" s="100" t="s">
        <v>307</v>
      </c>
      <c r="N68" s="55">
        <v>3.49</v>
      </c>
      <c r="O68" s="107">
        <v>0.27</v>
      </c>
      <c r="P68" s="107">
        <v>0.17</v>
      </c>
      <c r="Q68" s="107">
        <v>7.0000000000000007E-2</v>
      </c>
      <c r="R68" s="56"/>
      <c r="T68" s="30" t="str">
        <f>IF(AND($G$7=$B$46,$I$7=$M68),"w","-")</f>
        <v>-</v>
      </c>
      <c r="U68" s="30" t="str">
        <f>IF(AND($G$8=$B$46,$I$8=$M68),"w","-")</f>
        <v>-</v>
      </c>
      <c r="V68" s="30" t="str">
        <f>IF(AND($G$9=$B$46,$I$9=$M68),"w","-")</f>
        <v>-</v>
      </c>
      <c r="W68" s="30" t="str">
        <f>IF(AND($G$10=$B$46,$I$10=$M68),"w","-")</f>
        <v>-</v>
      </c>
      <c r="X68" s="30" t="str">
        <f>IF(AND($G$11=$B$46,$I$11=$M68),"w","-")</f>
        <v>-</v>
      </c>
      <c r="Y68" s="30" t="str">
        <f>IF(AND($G$12=$B$46,$I$12=$M68),"w","-")</f>
        <v>-</v>
      </c>
      <c r="Z68" s="30" t="str">
        <f>IF(AND($G$13=$B$46,$I$13=$M68),"w","-")</f>
        <v>-</v>
      </c>
      <c r="AA68" s="30" t="str">
        <f>IF(AND($G$14=$B$46,$I$14=$M68),"w","-")</f>
        <v>-</v>
      </c>
      <c r="AB68" s="30" t="str">
        <f>IF(AND($G$15=$B$46,$I$15=$M68),"w","-")</f>
        <v>-</v>
      </c>
      <c r="AC68" s="30" t="str">
        <f>IF(AND($G$16=$B$46,$I$16=$M68),"w","-")</f>
        <v>-</v>
      </c>
      <c r="AV68" s="209" t="s">
        <v>306</v>
      </c>
      <c r="AW68" s="214"/>
      <c r="AX68" s="213"/>
      <c r="AY68" s="212" t="s">
        <v>278</v>
      </c>
    </row>
    <row r="69" spans="1:51" s="3" customFormat="1" ht="21.75" hidden="1" customHeight="1" x14ac:dyDescent="0.15">
      <c r="A69" s="56"/>
      <c r="B69" s="218"/>
      <c r="C69" s="217"/>
      <c r="D69" s="220"/>
      <c r="E69" s="218"/>
      <c r="F69" s="113"/>
      <c r="G69" s="113"/>
      <c r="H69" s="113"/>
      <c r="I69" s="113"/>
      <c r="K69" s="2" t="s">
        <v>183</v>
      </c>
      <c r="L69" s="66" t="s">
        <v>156</v>
      </c>
      <c r="M69" s="100" t="s">
        <v>308</v>
      </c>
      <c r="N69" s="55">
        <v>3.49</v>
      </c>
      <c r="O69" s="107">
        <v>0.12</v>
      </c>
      <c r="P69" s="107">
        <v>0.09</v>
      </c>
      <c r="Q69" s="107">
        <v>0.04</v>
      </c>
      <c r="R69" s="56"/>
      <c r="T69" s="30" t="str">
        <f>IF(AND($G$7=$B$46,$I$7=$M69),"x","-")</f>
        <v>-</v>
      </c>
      <c r="U69" s="30" t="str">
        <f>IF(AND($G$8=$B$46,$I$8=$M69),"x","-")</f>
        <v>-</v>
      </c>
      <c r="V69" s="30" t="str">
        <f>IF(AND($G$9=$B$46,$I$9=$M69),"x","-")</f>
        <v>-</v>
      </c>
      <c r="W69" s="30" t="str">
        <f>IF(AND($G$10=$B$46,$I$10=$M69),"x","-")</f>
        <v>-</v>
      </c>
      <c r="X69" s="30" t="str">
        <f>IF(AND($G$11=$B$46,$I$11=$M69),"x","-")</f>
        <v>-</v>
      </c>
      <c r="Y69" s="30" t="str">
        <f>IF(AND($G$12=$B$46,$I$12=$M69),"x","-")</f>
        <v>-</v>
      </c>
      <c r="Z69" s="30" t="str">
        <f>IF(AND($G$13=$B$46,$I$13=$M69),"x","-")</f>
        <v>-</v>
      </c>
      <c r="AA69" s="30" t="str">
        <f>IF(AND($G$14=$B$46,$I$14=$M69),"x","-")</f>
        <v>-</v>
      </c>
      <c r="AB69" s="30" t="str">
        <f>IF(AND($G$15=$B$46,$I$15=$M69),"x","-")</f>
        <v>-</v>
      </c>
      <c r="AC69" s="30" t="str">
        <f>IF(AND($G$16=$B$46,$I$16=$M69),"x","-")</f>
        <v>-</v>
      </c>
      <c r="AV69" s="209" t="s">
        <v>307</v>
      </c>
      <c r="AW69" s="214"/>
      <c r="AX69" s="215"/>
      <c r="AY69" s="212" t="s">
        <v>279</v>
      </c>
    </row>
    <row r="70" spans="1:51" ht="21.75" hidden="1" customHeight="1" x14ac:dyDescent="0.15">
      <c r="A70" s="30"/>
      <c r="B70" s="218"/>
      <c r="C70" s="217"/>
      <c r="D70" s="220"/>
      <c r="E70" s="218"/>
      <c r="K70" s="2" t="s">
        <v>184</v>
      </c>
      <c r="L70" s="66" t="s">
        <v>156</v>
      </c>
      <c r="M70" s="100" t="s">
        <v>309</v>
      </c>
      <c r="N70" s="55">
        <v>3.49</v>
      </c>
      <c r="O70" s="107">
        <v>0.37</v>
      </c>
      <c r="P70" s="107">
        <v>0.2</v>
      </c>
      <c r="Q70" s="107">
        <v>0.09</v>
      </c>
      <c r="R70" s="56"/>
      <c r="T70" s="30" t="str">
        <f>IF(AND($G$7=$B$46,$I$7=$M70),"y","-")</f>
        <v>-</v>
      </c>
      <c r="U70" s="30" t="str">
        <f>IF(AND($G$8=$B$46,$I$8=$M70),"y","-")</f>
        <v>-</v>
      </c>
      <c r="V70" s="30" t="str">
        <f>IF(AND($G$9=$B$46,$I$9=$M70),"y","-")</f>
        <v>-</v>
      </c>
      <c r="W70" s="30" t="str">
        <f>IF(AND($G$10=$B$46,$I$10=$M70),"y","-")</f>
        <v>-</v>
      </c>
      <c r="X70" s="30" t="str">
        <f>IF(AND($G$11=$B$46,$I$11=$M70),"y","-")</f>
        <v>-</v>
      </c>
      <c r="Y70" s="30" t="str">
        <f>IF(AND($G$12=$B$46,$I$12=$M70),"y","-")</f>
        <v>-</v>
      </c>
      <c r="Z70" s="30" t="str">
        <f>IF(AND($G$13=$B$46,$I$13=$M70),"y","-")</f>
        <v>-</v>
      </c>
      <c r="AA70" s="30" t="str">
        <f>IF(AND($G$14=$B$46,$I$14=$M70),"y","-")</f>
        <v>-</v>
      </c>
      <c r="AB70" s="30" t="str">
        <f>IF(AND($G$15=$B$46,$I$15=$M70),"y","-")</f>
        <v>-</v>
      </c>
      <c r="AC70" s="30" t="str">
        <f>IF(AND($G$16=$B$46,$I$16=$M70),"y","-")</f>
        <v>-</v>
      </c>
      <c r="AV70" s="209" t="s">
        <v>308</v>
      </c>
      <c r="AW70" s="214"/>
      <c r="AX70" s="215"/>
      <c r="AY70" s="212" t="s">
        <v>280</v>
      </c>
    </row>
    <row r="71" spans="1:51" ht="21.75" hidden="1" customHeight="1" x14ac:dyDescent="0.15">
      <c r="A71" s="56"/>
      <c r="B71" s="218"/>
      <c r="C71" s="217"/>
      <c r="D71" s="220"/>
      <c r="E71" s="218"/>
      <c r="K71" s="2" t="s">
        <v>185</v>
      </c>
      <c r="L71" s="66" t="s">
        <v>156</v>
      </c>
      <c r="M71" s="100" t="s">
        <v>310</v>
      </c>
      <c r="N71" s="55">
        <v>3.49</v>
      </c>
      <c r="O71" s="107">
        <v>0.56999999999999995</v>
      </c>
      <c r="P71" s="107">
        <v>0.27</v>
      </c>
      <c r="Q71" s="107">
        <v>0.12</v>
      </c>
      <c r="R71" s="56"/>
      <c r="T71" s="30" t="str">
        <f>IF(AND($G$7=$B$46,$I$7=$M71),"z","-")</f>
        <v>-</v>
      </c>
      <c r="U71" s="30" t="str">
        <f>IF(AND($G$8=$B$46,$I$8=$M71),"z","-")</f>
        <v>-</v>
      </c>
      <c r="V71" s="30" t="str">
        <f>IF(AND($G$9=$B$46,$I$9=$M71),"z","-")</f>
        <v>-</v>
      </c>
      <c r="W71" s="30" t="str">
        <f>IF(AND($G$10=$B$46,$I$10=$M71),"z","-")</f>
        <v>-</v>
      </c>
      <c r="X71" s="30" t="str">
        <f>IF(AND($G$11=$B$46,$I$11=$M71),"z","-")</f>
        <v>-</v>
      </c>
      <c r="Y71" s="30" t="str">
        <f>IF(AND($G$12=$B$46,$I$12=$M71),"z","-")</f>
        <v>-</v>
      </c>
      <c r="Z71" s="30" t="str">
        <f>IF(AND($G$13=$B$46,$I$13=$M71),"z","-")</f>
        <v>-</v>
      </c>
      <c r="AA71" s="30" t="str">
        <f>IF(AND($G$14=$B$46,$I$14=$M71),"z","-")</f>
        <v>-</v>
      </c>
      <c r="AB71" s="30" t="str">
        <f>IF(AND($G$15=$B$46,$I$15=$M71),"z","-")</f>
        <v>-</v>
      </c>
      <c r="AC71" s="30" t="str">
        <f>IF(AND($G$16=$B$46,$I$16=$M71),"z","-")</f>
        <v>-</v>
      </c>
      <c r="AV71" s="209" t="s">
        <v>309</v>
      </c>
      <c r="AW71" s="214"/>
      <c r="AX71" s="215"/>
      <c r="AY71" s="212" t="s">
        <v>322</v>
      </c>
    </row>
    <row r="72" spans="1:51" ht="21.75" hidden="1" customHeight="1" x14ac:dyDescent="0.15">
      <c r="B72" s="218"/>
      <c r="C72" s="220"/>
      <c r="D72" s="220"/>
      <c r="E72" s="220"/>
      <c r="K72" s="2" t="s">
        <v>188</v>
      </c>
      <c r="L72" s="66" t="s">
        <v>156</v>
      </c>
      <c r="M72" s="100" t="s">
        <v>277</v>
      </c>
      <c r="N72" s="105">
        <v>6.51</v>
      </c>
      <c r="O72" s="107">
        <v>0.63</v>
      </c>
      <c r="P72" s="107">
        <v>0.27</v>
      </c>
      <c r="Q72" s="107">
        <v>0.14000000000000001</v>
      </c>
      <c r="T72" s="30" t="str">
        <f>IF(AND($G$7=$B$46,$I$7=$M72),"aa","-")</f>
        <v>-</v>
      </c>
      <c r="U72" s="30" t="str">
        <f>IF(AND($G$8=$B$46,$I$8=$M72),"aa","-")</f>
        <v>-</v>
      </c>
      <c r="V72" s="30" t="str">
        <f>IF(AND($G$9=$B$46,$I$9=$M72),"aa","-")</f>
        <v>-</v>
      </c>
      <c r="W72" s="30" t="str">
        <f>IF(AND($G$10=$B$46,$I$10=$M72),"aa","-")</f>
        <v>-</v>
      </c>
      <c r="X72" s="30" t="str">
        <f>IF(AND($G$11=$B$46,$I$11=$M72),"aa","-")</f>
        <v>-</v>
      </c>
      <c r="Y72" s="30" t="str">
        <f>IF(AND($G$12=$B$46,$I$12=$M72),"aa","-")</f>
        <v>-</v>
      </c>
      <c r="Z72" s="30" t="str">
        <f>IF(AND($G$13=$B$46,$I$13=$M72),"aa","-")</f>
        <v>-</v>
      </c>
      <c r="AA72" s="30" t="str">
        <f>IF(AND($G$14=$B$46,$I$14=$M72),"aa","-")</f>
        <v>-</v>
      </c>
      <c r="AB72" s="30" t="str">
        <f>IF(AND($G$15=$B$46,$I$15=$M72),"aa","-")</f>
        <v>-</v>
      </c>
      <c r="AC72" s="30" t="str">
        <f>IF(AND($G$16=$B$46,$I$16=$M72),"aa","-")</f>
        <v>-</v>
      </c>
      <c r="AV72" s="209" t="s">
        <v>310</v>
      </c>
      <c r="AW72" s="215"/>
      <c r="AX72" s="215"/>
      <c r="AY72" s="215"/>
    </row>
    <row r="73" spans="1:51" ht="21.75" hidden="1" customHeight="1" x14ac:dyDescent="0.15">
      <c r="A73" s="2"/>
      <c r="B73" s="218"/>
      <c r="C73" s="221"/>
      <c r="D73" s="221"/>
      <c r="E73" s="221"/>
      <c r="F73" s="2"/>
      <c r="G73" s="55"/>
      <c r="H73" s="55"/>
      <c r="I73" s="55"/>
      <c r="J73" s="55"/>
      <c r="K73" s="104" t="s">
        <v>189</v>
      </c>
      <c r="L73" s="66" t="s">
        <v>156</v>
      </c>
      <c r="M73" s="100" t="s">
        <v>278</v>
      </c>
      <c r="N73" s="105">
        <v>6.51</v>
      </c>
      <c r="O73" s="107">
        <v>0.49</v>
      </c>
      <c r="P73" s="107">
        <v>0.25</v>
      </c>
      <c r="Q73" s="107">
        <v>0.12</v>
      </c>
      <c r="R73" s="69"/>
      <c r="T73" s="30" t="str">
        <f>IF(AND($G$7=$B$46,$I$7=$M73),"bb","-")</f>
        <v>-</v>
      </c>
      <c r="U73" s="30" t="str">
        <f>IF(AND($G$8=$B$46,$I$8=$M73),"bb","-")</f>
        <v>-</v>
      </c>
      <c r="V73" s="30" t="str">
        <f>IF(AND($G$9=$B$46,$I$9=$M73),"bb","-")</f>
        <v>-</v>
      </c>
      <c r="W73" s="30" t="str">
        <f>IF(AND($G$10=$B$46,$I$10=$M73),"bb","-")</f>
        <v>-</v>
      </c>
      <c r="X73" s="30" t="str">
        <f>IF(AND($G$11=$B$46,$I$11=$M73),"bb","-")</f>
        <v>-</v>
      </c>
      <c r="Y73" s="30" t="str">
        <f>IF(AND($G$12=$B$46,$I$12=$M73),"bb","-")</f>
        <v>-</v>
      </c>
      <c r="Z73" s="30" t="str">
        <f>IF(AND($G$13=$B$46,$I$13=$M73),"bb","-")</f>
        <v>-</v>
      </c>
      <c r="AA73" s="30" t="str">
        <f>IF(AND($G$14=$B$46,$I$14=$M73),"bb","-")</f>
        <v>-</v>
      </c>
      <c r="AB73" s="30" t="str">
        <f>IF(AND($G$15=$B$46,$I$15=$M73),"bb","-")</f>
        <v>-</v>
      </c>
      <c r="AC73" s="30" t="str">
        <f>IF(AND($G$16=$B$46,$I$16=$M73),"bb","-")</f>
        <v>-</v>
      </c>
      <c r="AD73" s="29"/>
      <c r="AV73" s="209" t="s">
        <v>277</v>
      </c>
      <c r="AW73" s="216"/>
      <c r="AX73" s="216"/>
      <c r="AY73" s="216"/>
    </row>
    <row r="74" spans="1:51" ht="21.75" hidden="1" customHeight="1" x14ac:dyDescent="0.15">
      <c r="A74" s="30"/>
      <c r="B74" s="218"/>
      <c r="C74" s="220"/>
      <c r="D74" s="220"/>
      <c r="E74" s="220"/>
      <c r="F74" s="2"/>
      <c r="G74" s="55"/>
      <c r="H74" s="55"/>
      <c r="I74" s="55"/>
      <c r="J74" s="55"/>
      <c r="K74" s="108" t="s">
        <v>190</v>
      </c>
      <c r="L74" s="66" t="s">
        <v>156</v>
      </c>
      <c r="M74" s="100" t="s">
        <v>279</v>
      </c>
      <c r="N74" s="105">
        <v>6.51</v>
      </c>
      <c r="O74" s="107">
        <v>0.35</v>
      </c>
      <c r="P74" s="107">
        <v>0.22</v>
      </c>
      <c r="Q74" s="107">
        <v>0.09</v>
      </c>
      <c r="R74" s="70"/>
      <c r="T74" s="30" t="str">
        <f>IF(AND($G$7=$B$46,$I$7=$M74),"cc","-")</f>
        <v>-</v>
      </c>
      <c r="U74" s="30" t="str">
        <f>IF(AND($G$8=$B$46,$I$8=$M74),"cc","-")</f>
        <v>-</v>
      </c>
      <c r="V74" s="30" t="str">
        <f>IF(AND($G$9=$B$46,$I$9=$M74),"cc","-")</f>
        <v>-</v>
      </c>
      <c r="W74" s="30" t="str">
        <f>IF(AND($G$10=$B$46,$I$10=$M74),"cc","-")</f>
        <v>-</v>
      </c>
      <c r="X74" s="30" t="str">
        <f>IF(AND($G$11=$B$46,$I$11=$M74),"cc","-")</f>
        <v>-</v>
      </c>
      <c r="Y74" s="30" t="str">
        <f>IF(AND($G$12=$B$46,$I$12=$M74),"cc","-")</f>
        <v>-</v>
      </c>
      <c r="Z74" s="30" t="str">
        <f>IF(AND($G$13=$B$46,$I$13=$M74),"cc","-")</f>
        <v>-</v>
      </c>
      <c r="AA74" s="30" t="str">
        <f>IF(AND($G$14=$B$46,$I$14=$M74),"cc","-")</f>
        <v>-</v>
      </c>
      <c r="AB74" s="30" t="str">
        <f>IF(AND($G$15=$B$46,$I$15=$M74),"cc","-")</f>
        <v>-</v>
      </c>
      <c r="AC74" s="30" t="str">
        <f>IF(AND($G$16=$B$46,$I$16=$M74),"cc","-")</f>
        <v>-</v>
      </c>
      <c r="AD74" s="62"/>
      <c r="AV74" s="209" t="s">
        <v>278</v>
      </c>
      <c r="AW74" s="215"/>
      <c r="AX74" s="215"/>
      <c r="AY74" s="215"/>
    </row>
    <row r="75" spans="1:51" ht="21.75" hidden="1" customHeight="1" x14ac:dyDescent="0.15">
      <c r="A75" s="30"/>
      <c r="B75" s="218"/>
      <c r="C75" s="220"/>
      <c r="D75" s="220"/>
      <c r="E75" s="220"/>
      <c r="F75" s="2"/>
      <c r="G75" s="55"/>
      <c r="H75" s="55"/>
      <c r="I75" s="55"/>
      <c r="J75" s="55"/>
      <c r="K75" s="108" t="s">
        <v>191</v>
      </c>
      <c r="L75" s="66" t="s">
        <v>156</v>
      </c>
      <c r="M75" s="100" t="s">
        <v>280</v>
      </c>
      <c r="N75" s="105">
        <v>6.51</v>
      </c>
      <c r="O75" s="107">
        <v>0.17</v>
      </c>
      <c r="P75" s="107">
        <v>0.14000000000000001</v>
      </c>
      <c r="Q75" s="107">
        <v>0.06</v>
      </c>
      <c r="R75" s="70"/>
      <c r="T75" s="30" t="str">
        <f>IF(AND($G$7=$B$46,$I$7=$M75),"dd","-")</f>
        <v>-</v>
      </c>
      <c r="U75" s="30" t="str">
        <f>IF(AND($G$8=$B$46,$I$8=$M75),"dd","-")</f>
        <v>-</v>
      </c>
      <c r="V75" s="30" t="str">
        <f>IF(AND($G$9=$B$46,$I$9=$M75),"dd","-")</f>
        <v>-</v>
      </c>
      <c r="W75" s="30" t="str">
        <f>IF(AND($G$10=$B$46,$I$10=$M75),"dd","-")</f>
        <v>-</v>
      </c>
      <c r="X75" s="30" t="str">
        <f>IF(AND($G$11=$B$46,$I$11=$M75),"dd","-")</f>
        <v>-</v>
      </c>
      <c r="Y75" s="30" t="str">
        <f>IF(AND($G$12=$B$46,$I$12=$M75),"dd","-")</f>
        <v>-</v>
      </c>
      <c r="Z75" s="30" t="str">
        <f>IF(AND($G$13=$B$46,$I$13=$M75),"dd","-")</f>
        <v>-</v>
      </c>
      <c r="AA75" s="30" t="str">
        <f>IF(AND($G$14=$B$46,$I$14=$M75),"dd","-")</f>
        <v>-</v>
      </c>
      <c r="AB75" s="30" t="str">
        <f>IF(AND($G$15=$B$46,$I$15=$M75),"dd","-")</f>
        <v>-</v>
      </c>
      <c r="AC75" s="30" t="str">
        <f>IF(AND($G$16=$B$46,$I$16=$M75),"dd","-")</f>
        <v>-</v>
      </c>
      <c r="AD75" s="62"/>
      <c r="AV75" s="209" t="s">
        <v>279</v>
      </c>
      <c r="AW75" s="215"/>
      <c r="AX75" s="215"/>
      <c r="AY75" s="215"/>
    </row>
    <row r="76" spans="1:51" ht="21.75" hidden="1" customHeight="1" x14ac:dyDescent="0.15">
      <c r="A76" s="30"/>
      <c r="B76" s="218"/>
      <c r="C76" s="220"/>
      <c r="D76" s="220"/>
      <c r="E76" s="220"/>
      <c r="F76" s="2"/>
      <c r="G76" s="55"/>
      <c r="H76" s="55"/>
      <c r="I76" s="55"/>
      <c r="J76" s="55"/>
      <c r="K76" s="108" t="s">
        <v>192</v>
      </c>
      <c r="L76" s="66" t="s">
        <v>156</v>
      </c>
      <c r="M76" s="100" t="s">
        <v>281</v>
      </c>
      <c r="N76" s="105">
        <v>6.51</v>
      </c>
      <c r="O76" s="107">
        <v>0.45</v>
      </c>
      <c r="P76" s="107">
        <v>0.24</v>
      </c>
      <c r="Q76" s="107">
        <v>0.11</v>
      </c>
      <c r="R76" s="70"/>
      <c r="T76" s="30" t="str">
        <f>IF(AND($G$7=$B$46,$I$7=$M76),"ee","-")</f>
        <v>-</v>
      </c>
      <c r="U76" s="30" t="str">
        <f>IF(AND($G$8=$B$46,$I$8=$M76),"ee","-")</f>
        <v>-</v>
      </c>
      <c r="V76" s="30" t="str">
        <f>IF(AND($G$9=$B$46,$I$9=$M76),"ee","-")</f>
        <v>-</v>
      </c>
      <c r="W76" s="30" t="str">
        <f>IF(AND($G$10=$B$46,$I$10=$M76),"ee","-")</f>
        <v>-</v>
      </c>
      <c r="X76" s="30" t="str">
        <f>IF(AND($G$11=$B$46,$I$11=$M76),"ee","-")</f>
        <v>-</v>
      </c>
      <c r="Y76" s="30" t="str">
        <f>IF(AND($G$12=$B$46,$I$12=$M76),"ee","-")</f>
        <v>-</v>
      </c>
      <c r="Z76" s="30" t="str">
        <f>IF(AND($G$13=$B$46,$I$13=$M76),"ee","-")</f>
        <v>-</v>
      </c>
      <c r="AA76" s="30" t="str">
        <f>IF(AND($G$14=$B$46,$I$14=$M76),"ee","-")</f>
        <v>-</v>
      </c>
      <c r="AB76" s="30" t="str">
        <f>IF(AND($G$15=$B$46,$I$15=$M76),"ee","-")</f>
        <v>-</v>
      </c>
      <c r="AC76" s="30" t="str">
        <f>IF(AND($G$16=$B$46,$I$16=$M76),"ee","-")</f>
        <v>-</v>
      </c>
      <c r="AD76" s="61"/>
      <c r="AV76" s="209" t="s">
        <v>280</v>
      </c>
      <c r="AW76" s="215"/>
      <c r="AX76" s="215"/>
      <c r="AY76" s="215"/>
    </row>
    <row r="77" spans="1:51" ht="21.75" hidden="1" customHeight="1" x14ac:dyDescent="0.15">
      <c r="A77" s="30"/>
      <c r="B77" s="218"/>
      <c r="C77" s="220"/>
      <c r="D77" s="220"/>
      <c r="E77" s="220"/>
      <c r="F77" s="2"/>
      <c r="G77" s="55"/>
      <c r="H77" s="55"/>
      <c r="I77" s="55"/>
      <c r="J77" s="55"/>
      <c r="K77" s="108" t="s">
        <v>193</v>
      </c>
      <c r="L77" s="30" t="s">
        <v>157</v>
      </c>
      <c r="M77" s="101" t="s">
        <v>297</v>
      </c>
      <c r="N77" s="106">
        <v>2.15</v>
      </c>
      <c r="O77" s="107">
        <v>0.51</v>
      </c>
      <c r="P77" s="107">
        <v>0.3</v>
      </c>
      <c r="Q77" s="107">
        <v>0.12</v>
      </c>
      <c r="R77" s="70"/>
      <c r="T77" s="30" t="str">
        <f>IF(AND($G$7=$B$47,$I$7=$M77),"ff","-")</f>
        <v>-</v>
      </c>
      <c r="U77" s="30" t="str">
        <f>IF(AND($G$8=$B$47,$I$8=$M77),"ff","-")</f>
        <v>-</v>
      </c>
      <c r="V77" s="30" t="str">
        <f>IF(AND($G$9=$B$47,$I$9=$M77),"ff","-")</f>
        <v>-</v>
      </c>
      <c r="W77" s="30" t="str">
        <f>IF(AND($G$10=$B$47,$I$10=$M77),"ff","-")</f>
        <v>-</v>
      </c>
      <c r="X77" s="30" t="str">
        <f>IF(AND($G$11=$B$47,$I$11=$M77),"ff","-")</f>
        <v>-</v>
      </c>
      <c r="Y77" s="30" t="str">
        <f>IF(AND($G$12=$B$47,$I$12=$M77),"ff","-")</f>
        <v>-</v>
      </c>
      <c r="Z77" s="30" t="str">
        <f>IF(AND($G$13=$B$47,$I$13=$M77),"ff","-")</f>
        <v>-</v>
      </c>
      <c r="AA77" s="30" t="str">
        <f>IF(AND($G$14=$B$47,$I$14=$M77),"ff","-")</f>
        <v>-</v>
      </c>
      <c r="AB77" s="30" t="str">
        <f>IF(AND($G$15=$B$47,$I$15=$M77),"ff","-")</f>
        <v>-</v>
      </c>
      <c r="AC77" s="30" t="str">
        <f>IF(AND($G$16=$B$47,$I$16=$M77),"ff","-")</f>
        <v>-</v>
      </c>
      <c r="AD77" s="61"/>
      <c r="AV77" s="209" t="s">
        <v>281</v>
      </c>
      <c r="AW77" s="215"/>
      <c r="AX77" s="215"/>
      <c r="AY77" s="215"/>
    </row>
    <row r="78" spans="1:51" ht="21.75" hidden="1" customHeight="1" x14ac:dyDescent="0.15">
      <c r="A78" s="30"/>
      <c r="F78" s="2"/>
      <c r="G78" s="55"/>
      <c r="H78" s="55"/>
      <c r="I78" s="55"/>
      <c r="J78" s="55"/>
      <c r="K78" s="108" t="s">
        <v>194</v>
      </c>
      <c r="L78" s="30" t="s">
        <v>157</v>
      </c>
      <c r="M78" s="101" t="s">
        <v>298</v>
      </c>
      <c r="N78" s="106">
        <v>2.15</v>
      </c>
      <c r="O78" s="107">
        <v>0.32</v>
      </c>
      <c r="P78" s="107">
        <v>0.21</v>
      </c>
      <c r="Q78" s="107">
        <v>0.09</v>
      </c>
      <c r="R78" s="70"/>
      <c r="T78" s="30" t="str">
        <f>IF(AND($G$7=$B$47,$I$7=$M78),"gg","-")</f>
        <v>-</v>
      </c>
      <c r="U78" s="30" t="str">
        <f>IF(AND($G$8=$B$47,$I$8=$M78),"gg","-")</f>
        <v>-</v>
      </c>
      <c r="V78" s="30" t="str">
        <f>IF(AND($G$9=$B$47,$I$9=$M78),"gg","-")</f>
        <v>-</v>
      </c>
      <c r="W78" s="30" t="str">
        <f>IF(AND($G$10=$B$47,$I$10=$M78),"gg","-")</f>
        <v>-</v>
      </c>
      <c r="X78" s="30" t="str">
        <f>IF(AND($G$11=$B$47,$I$11=$M78),"gg","-")</f>
        <v>-</v>
      </c>
      <c r="Y78" s="30" t="str">
        <f>IF(AND($G$12=$B$47,$I$12=$M78),"gg","-")</f>
        <v>-</v>
      </c>
      <c r="Z78" s="30" t="str">
        <f>IF(AND($G$13=$B$47,$I$13=$M78),"gg","-")</f>
        <v>-</v>
      </c>
      <c r="AA78" s="30" t="str">
        <f>IF(AND($G$14=$B$47,$I$14=$M78),"gg","-")</f>
        <v>-</v>
      </c>
      <c r="AB78" s="30" t="str">
        <f>IF(AND($G$15=$B$47,$I$15=$M78),"gg","-")</f>
        <v>-</v>
      </c>
      <c r="AC78" s="30" t="str">
        <f>IF(AND($G$16=$B$47,$I$16=$M78),"gg","-")</f>
        <v>-</v>
      </c>
      <c r="AD78" s="59"/>
    </row>
    <row r="79" spans="1:51" ht="21.75" hidden="1" customHeight="1" x14ac:dyDescent="0.15">
      <c r="A79" s="30"/>
      <c r="F79" s="2"/>
      <c r="G79" s="55"/>
      <c r="H79" s="55"/>
      <c r="I79" s="55"/>
      <c r="J79" s="55"/>
      <c r="K79" s="108" t="s">
        <v>195</v>
      </c>
      <c r="L79" s="30" t="s">
        <v>157</v>
      </c>
      <c r="M79" s="101" t="s">
        <v>290</v>
      </c>
      <c r="N79" s="106">
        <v>2.33</v>
      </c>
      <c r="O79" s="107">
        <v>0.51</v>
      </c>
      <c r="P79" s="107">
        <v>0.3</v>
      </c>
      <c r="Q79" s="107">
        <v>0.12</v>
      </c>
      <c r="R79" s="70"/>
      <c r="T79" s="30" t="str">
        <f>IF(AND($G$7=$B$47,$I$7=$M79),"hh","-")</f>
        <v>-</v>
      </c>
      <c r="U79" s="30" t="str">
        <f>IF(AND($G$8=$B$47,$I$8=$M79),"hh","-")</f>
        <v>-</v>
      </c>
      <c r="V79" s="30" t="str">
        <f>IF(AND($G$9=$B$47,$I$9=$M79),"hh","-")</f>
        <v>-</v>
      </c>
      <c r="W79" s="30" t="str">
        <f>IF(AND($G$10=$B$47,$I$10=$M79),"hh","-")</f>
        <v>-</v>
      </c>
      <c r="X79" s="30" t="str">
        <f>IF(AND($G$11=$B$47,$I$11=$M79),"hh","-")</f>
        <v>-</v>
      </c>
      <c r="Y79" s="30" t="str">
        <f>IF(AND($G$12=$B$47,$I$12=$M79),"hh","-")</f>
        <v>-</v>
      </c>
      <c r="Z79" s="30" t="str">
        <f>IF(AND($G$13=$B$47,$I$13=$M79),"hh","-")</f>
        <v>-</v>
      </c>
      <c r="AA79" s="30" t="str">
        <f>IF(AND($G$14=$B$47,$I$14=$M79),"hh","-")</f>
        <v>-</v>
      </c>
      <c r="AB79" s="30" t="str">
        <f>IF(AND($G$15=$B$47,$I$15=$M79),"hh","-")</f>
        <v>-</v>
      </c>
      <c r="AC79" s="30" t="str">
        <f>IF(AND($G$16=$B$47,$I$16=$M79),"hh","-")</f>
        <v>-</v>
      </c>
      <c r="AD79" s="63"/>
    </row>
    <row r="80" spans="1:51" ht="21.75" hidden="1" customHeight="1" x14ac:dyDescent="0.15">
      <c r="A80" s="30"/>
      <c r="F80" s="6"/>
      <c r="G80" s="55"/>
      <c r="H80" s="55"/>
      <c r="I80" s="55"/>
      <c r="J80" s="55"/>
      <c r="K80" s="108" t="s">
        <v>196</v>
      </c>
      <c r="L80" s="30" t="s">
        <v>157</v>
      </c>
      <c r="M80" s="101" t="s">
        <v>291</v>
      </c>
      <c r="N80" s="106">
        <v>2.33</v>
      </c>
      <c r="O80" s="107">
        <v>0.32</v>
      </c>
      <c r="P80" s="107">
        <v>0.21</v>
      </c>
      <c r="Q80" s="107">
        <v>0.09</v>
      </c>
      <c r="R80" s="70"/>
      <c r="T80" s="30" t="str">
        <f>IF(AND($G$7=$B$47,$I$7=$M80),"ii","-")</f>
        <v>-</v>
      </c>
      <c r="U80" s="30" t="str">
        <f>IF(AND($G$8=$B$47,$I$8=$M80),"ii","-")</f>
        <v>-</v>
      </c>
      <c r="V80" s="30" t="str">
        <f>IF(AND($G$9=$B$47,$I$9=$M80),"ii","-")</f>
        <v>-</v>
      </c>
      <c r="W80" s="30" t="str">
        <f>IF(AND($G$10=$B$47,$I$10=$M80),"ii","-")</f>
        <v>-</v>
      </c>
      <c r="X80" s="30" t="str">
        <f>IF(AND($G$11=$B$47,$I$11=$M80),"ii","-")</f>
        <v>-</v>
      </c>
      <c r="Y80" s="30" t="str">
        <f>IF(AND($G$12=$B$47,$I$12=$M80),"ii","-")</f>
        <v>-</v>
      </c>
      <c r="Z80" s="30" t="str">
        <f>IF(AND($G$13=$B$47,$I$13=$M80),"ii","-")</f>
        <v>-</v>
      </c>
      <c r="AA80" s="30" t="str">
        <f>IF(AND($G$14=$B$47,$I$14=$M80),"ii","-")</f>
        <v>-</v>
      </c>
      <c r="AB80" s="30" t="str">
        <f>IF(AND($G$15=$B$47,$I$15=$M80),"ii","-")</f>
        <v>-</v>
      </c>
      <c r="AC80" s="30" t="str">
        <f>IF(AND($G$16=$B$47,$I$16=$M80),"ii","-")</f>
        <v>-</v>
      </c>
      <c r="AD80" s="63"/>
    </row>
    <row r="81" spans="1:30" ht="21.75" hidden="1" customHeight="1" x14ac:dyDescent="0.15">
      <c r="A81" s="30"/>
      <c r="F81" s="6"/>
      <c r="G81" s="68"/>
      <c r="H81" s="68"/>
      <c r="I81" s="29"/>
      <c r="J81" s="29"/>
      <c r="K81" s="109" t="s">
        <v>197</v>
      </c>
      <c r="L81" s="30" t="s">
        <v>157</v>
      </c>
      <c r="M81" s="101" t="s">
        <v>311</v>
      </c>
      <c r="N81" s="106">
        <v>2.33</v>
      </c>
      <c r="O81" s="107">
        <v>0.51</v>
      </c>
      <c r="P81" s="107">
        <v>0.3</v>
      </c>
      <c r="Q81" s="107">
        <v>0.12</v>
      </c>
      <c r="R81" s="70"/>
      <c r="T81" s="30" t="str">
        <f>IF(AND($G$7=$B$47,$I$7=$M81),"jj","-")</f>
        <v>-</v>
      </c>
      <c r="U81" s="30" t="str">
        <f>IF(AND($G$8=$B$47,$I$8=$M81),"jj","-")</f>
        <v>-</v>
      </c>
      <c r="V81" s="30" t="str">
        <f>IF(AND($G$9=$B$47,$I$9=$M81),"jj","-")</f>
        <v>-</v>
      </c>
      <c r="W81" s="30" t="str">
        <f>IF(AND($G$10=$B$47,$I$10=$M81),"jj","-")</f>
        <v>-</v>
      </c>
      <c r="X81" s="30" t="str">
        <f>IF(AND($G$11=$B$47,$I$11=$M81),"jj","-")</f>
        <v>-</v>
      </c>
      <c r="Y81" s="30" t="str">
        <f>IF(AND($G$12=$B$47,$I$12=$M81),"jj","-")</f>
        <v>-</v>
      </c>
      <c r="Z81" s="30" t="str">
        <f>IF(AND($G$13=$B$47,$I$13=$M81),"jj","-")</f>
        <v>-</v>
      </c>
      <c r="AA81" s="30" t="str">
        <f>IF(AND($G$14=$B$47,$I$14=$M81),"jj","-")</f>
        <v>-</v>
      </c>
      <c r="AB81" s="30" t="str">
        <f>IF(AND($G$15=$B$47,$I$15=$M81),"jj","-")</f>
        <v>-</v>
      </c>
      <c r="AC81" s="30" t="str">
        <f>IF(AND($G$16=$B$47,$I$16=$M81),"jj","-")</f>
        <v>-</v>
      </c>
      <c r="AD81" s="64"/>
    </row>
    <row r="82" spans="1:30" ht="21.75" hidden="1" customHeight="1" x14ac:dyDescent="0.15">
      <c r="A82" s="30"/>
      <c r="F82" s="6"/>
      <c r="G82" s="68"/>
      <c r="H82" s="68"/>
      <c r="K82" s="109" t="s">
        <v>198</v>
      </c>
      <c r="L82" s="30" t="s">
        <v>157</v>
      </c>
      <c r="M82" s="101" t="s">
        <v>312</v>
      </c>
      <c r="N82" s="106">
        <v>2.33</v>
      </c>
      <c r="O82" s="107">
        <v>0.32</v>
      </c>
      <c r="P82" s="107">
        <v>0.21</v>
      </c>
      <c r="Q82" s="107">
        <v>0.09</v>
      </c>
      <c r="R82" s="70"/>
      <c r="T82" s="30" t="str">
        <f>IF(AND($G$7=$B$47,$I$7=$M82),"kk","-")</f>
        <v>-</v>
      </c>
      <c r="U82" s="30" t="str">
        <f>IF(AND($G$8=$B$47,$I$8=$M82),"kk","-")</f>
        <v>-</v>
      </c>
      <c r="V82" s="30" t="str">
        <f>IF(AND($G$9=$B$47,$I$9=$M82),"kk","-")</f>
        <v>-</v>
      </c>
      <c r="W82" s="30" t="str">
        <f>IF(AND($G$10=$B$47,$I$10=$M82),"kk","-")</f>
        <v>-</v>
      </c>
      <c r="X82" s="30" t="str">
        <f>IF(AND($G$11=$B$47,$I$11=$M82),"kk","-")</f>
        <v>-</v>
      </c>
      <c r="Y82" s="30" t="str">
        <f>IF(AND($G$12=$B$47,$I$12=$M82),"kk","-")</f>
        <v>-</v>
      </c>
      <c r="Z82" s="30" t="str">
        <f>IF(AND($G$13=$B$47,$I$13=$M82),"kk","-")</f>
        <v>-</v>
      </c>
      <c r="AA82" s="30" t="str">
        <f>IF(AND($G$14=$B$47,$I$14=$M82),"kk","-")</f>
        <v>-</v>
      </c>
      <c r="AB82" s="30" t="str">
        <f>IF(AND($G$15=$B$47,$I$15=$M82),"kk","-")</f>
        <v>-</v>
      </c>
      <c r="AC82" s="30" t="str">
        <f>IF(AND($G$16=$B$47,$I$16=$M82),"kk","-")</f>
        <v>-</v>
      </c>
      <c r="AD82" s="64"/>
    </row>
    <row r="83" spans="1:30" ht="21.75" hidden="1" customHeight="1" x14ac:dyDescent="0.15">
      <c r="A83" s="30"/>
      <c r="F83" s="6"/>
      <c r="G83" s="68"/>
      <c r="H83" s="68"/>
      <c r="K83" s="109" t="s">
        <v>199</v>
      </c>
      <c r="L83" s="30" t="s">
        <v>157</v>
      </c>
      <c r="M83" s="101" t="s">
        <v>304</v>
      </c>
      <c r="N83" s="106">
        <v>3.49</v>
      </c>
      <c r="O83" s="107">
        <v>0.51</v>
      </c>
      <c r="P83" s="107">
        <v>0.3</v>
      </c>
      <c r="Q83" s="107">
        <v>0.12</v>
      </c>
      <c r="R83" s="70"/>
      <c r="T83" s="30" t="str">
        <f>IF(AND($G$7=$B$47,$I$7=$M83),"ll","-")</f>
        <v>-</v>
      </c>
      <c r="U83" s="30" t="str">
        <f>IF(AND($G$8=$B$47,$I$8=$M83),"ll","-")</f>
        <v>-</v>
      </c>
      <c r="V83" s="30" t="str">
        <f>IF(AND($G$9=$B$47,$I$9=$M83),"ll","-")</f>
        <v>-</v>
      </c>
      <c r="W83" s="30" t="str">
        <f>IF(AND($G$10=$B$47,$I$10=$M83),"ll","-")</f>
        <v>-</v>
      </c>
      <c r="X83" s="30" t="str">
        <f>IF(AND($G$11=$B$47,$I$11=$M83),"ll","-")</f>
        <v>-</v>
      </c>
      <c r="Y83" s="30" t="str">
        <f>IF(AND($G$12=$B$47,$I$12=$M83),"ll","-")</f>
        <v>-</v>
      </c>
      <c r="Z83" s="30" t="str">
        <f>IF(AND($G$13=$B$47,$I$13=$M83),"ll","-")</f>
        <v>-</v>
      </c>
      <c r="AA83" s="30" t="str">
        <f>IF(AND($G$14=$B$47,$I$14=$M83),"ll","-")</f>
        <v>-</v>
      </c>
      <c r="AB83" s="30" t="str">
        <f>IF(AND($G$15=$B$47,$I$15=$M83),"ll","-")</f>
        <v>-</v>
      </c>
      <c r="AC83" s="30" t="str">
        <f>IF(AND($G$16=$B$47,$I$16=$M83),"ll","-")</f>
        <v>-</v>
      </c>
      <c r="AD83" s="64"/>
    </row>
    <row r="84" spans="1:30" ht="21.75" hidden="1" customHeight="1" x14ac:dyDescent="0.15">
      <c r="A84" s="30"/>
      <c r="F84" s="6"/>
      <c r="G84" s="68"/>
      <c r="H84" s="68"/>
      <c r="K84" s="109" t="s">
        <v>200</v>
      </c>
      <c r="L84" s="30" t="s">
        <v>157</v>
      </c>
      <c r="M84" s="101" t="s">
        <v>305</v>
      </c>
      <c r="N84" s="106">
        <v>3.49</v>
      </c>
      <c r="O84" s="107">
        <v>0.32</v>
      </c>
      <c r="P84" s="107">
        <v>0.21</v>
      </c>
      <c r="Q84" s="107">
        <v>0.09</v>
      </c>
      <c r="R84" s="70"/>
      <c r="T84" s="30" t="str">
        <f>IF(AND($G$7=$B$47,$I$7=$M84),"mm","-")</f>
        <v>-</v>
      </c>
      <c r="U84" s="30" t="str">
        <f>IF(AND($G$8=$B$47,$I$8=$M84),"mm","-")</f>
        <v>-</v>
      </c>
      <c r="V84" s="30" t="str">
        <f>IF(AND($G$9=$B$47,$I$9=$M84),"mm","-")</f>
        <v>-</v>
      </c>
      <c r="W84" s="30" t="str">
        <f>IF(AND($G$10=$B$47,$I$10=$M84),"mm","-")</f>
        <v>-</v>
      </c>
      <c r="X84" s="30" t="str">
        <f>IF(AND($G$11=$B$47,$I$11=$M84),"mm","-")</f>
        <v>-</v>
      </c>
      <c r="Y84" s="30" t="str">
        <f>IF(AND($G$12=$B$47,$I$12=$M84),"mm","-")</f>
        <v>-</v>
      </c>
      <c r="Z84" s="30" t="str">
        <f>IF(AND($G$13=$B$47,$I$13=$M84),"mm","-")</f>
        <v>-</v>
      </c>
      <c r="AA84" s="30" t="str">
        <f>IF(AND($G$14=$B$47,$I$14=$M84),"mm","-")</f>
        <v>-</v>
      </c>
      <c r="AB84" s="30" t="str">
        <f>IF(AND($G$15=$B$47,$I$15=$M84),"mm","-")</f>
        <v>-</v>
      </c>
      <c r="AC84" s="30" t="str">
        <f>IF(AND($G$16=$B$47,$I$16=$M84),"mm","-")</f>
        <v>-</v>
      </c>
      <c r="AD84" s="64"/>
    </row>
    <row r="85" spans="1:30" ht="21.75" hidden="1" customHeight="1" x14ac:dyDescent="0.15">
      <c r="A85" s="30"/>
      <c r="F85" s="6"/>
      <c r="G85" s="68"/>
      <c r="H85" s="68"/>
      <c r="K85" s="109" t="s">
        <v>201</v>
      </c>
      <c r="L85" s="30" t="s">
        <v>157</v>
      </c>
      <c r="M85" s="101" t="s">
        <v>785</v>
      </c>
      <c r="N85" s="106">
        <v>3.49</v>
      </c>
      <c r="O85" s="107">
        <v>0.51</v>
      </c>
      <c r="P85" s="107">
        <v>0.3</v>
      </c>
      <c r="Q85" s="107">
        <v>0.12</v>
      </c>
      <c r="R85" s="70"/>
      <c r="T85" s="30" t="str">
        <f>IF(AND($G$7=$B$47,$I$7=$M85),"nn","-")</f>
        <v>-</v>
      </c>
      <c r="U85" s="30" t="str">
        <f>IF(AND($G$8=$B$47,$I$8=$M85),"nn","-")</f>
        <v>-</v>
      </c>
      <c r="V85" s="30" t="str">
        <f>IF(AND($G$9=$B$47,$I$9=$M85),"nn","-")</f>
        <v>-</v>
      </c>
      <c r="W85" s="30" t="str">
        <f>IF(AND($G$10=$B$47,$I$10=$M85),"nn","-")</f>
        <v>-</v>
      </c>
      <c r="X85" s="30" t="str">
        <f>IF(AND($G$11=$B$47,$I$11=$M85),"nn","-")</f>
        <v>-</v>
      </c>
      <c r="Y85" s="30" t="str">
        <f>IF(AND($G$12=$B$47,$I$12=$M85),"nn","-")</f>
        <v>-</v>
      </c>
      <c r="Z85" s="30" t="str">
        <f>IF(AND($G$13=$B$47,$I$13=$M85),"nn","-")</f>
        <v>-</v>
      </c>
      <c r="AA85" s="30" t="str">
        <f>IF(AND($G$14=$B$47,$I$14=$M85),"nn","-")</f>
        <v>-</v>
      </c>
      <c r="AB85" s="30" t="str">
        <f>IF(AND($G$15=$B$47,$I$15=$M85),"nn","-")</f>
        <v>-</v>
      </c>
      <c r="AC85" s="30" t="str">
        <f>IF(AND($G$16=$B$47,$I$16=$M85),"nn","-")</f>
        <v>-</v>
      </c>
      <c r="AD85" s="59"/>
    </row>
    <row r="86" spans="1:30" ht="21.75" hidden="1" customHeight="1" x14ac:dyDescent="0.15">
      <c r="A86" s="30"/>
      <c r="F86" s="6"/>
      <c r="G86" s="68"/>
      <c r="H86" s="68"/>
      <c r="K86" s="109" t="s">
        <v>202</v>
      </c>
      <c r="L86" s="30" t="s">
        <v>157</v>
      </c>
      <c r="M86" s="101" t="s">
        <v>786</v>
      </c>
      <c r="N86" s="106">
        <v>3.49</v>
      </c>
      <c r="O86" s="107">
        <v>0.32</v>
      </c>
      <c r="P86" s="107">
        <v>0.21</v>
      </c>
      <c r="Q86" s="107">
        <v>0.09</v>
      </c>
      <c r="R86" s="70"/>
      <c r="T86" s="30" t="str">
        <f>IF(AND($G$7=$B$47,$I$7=$M86),"oo","-")</f>
        <v>-</v>
      </c>
      <c r="U86" s="30" t="str">
        <f>IF(AND($G$8=$B$47,$I$8=$M86),"oo","-")</f>
        <v>-</v>
      </c>
      <c r="V86" s="30" t="str">
        <f>IF(AND($G$9=$B$47,$I$9=$M86),"oo","-")</f>
        <v>-</v>
      </c>
      <c r="W86" s="30" t="str">
        <f>IF(AND($G$10=$B$47,$I$10=$M86),"oo","-")</f>
        <v>-</v>
      </c>
      <c r="X86" s="30" t="str">
        <f>IF(AND($G$11=$B$47,$I$11=$M86),"oo","-")</f>
        <v>-</v>
      </c>
      <c r="Y86" s="30" t="str">
        <f>IF(AND($G$12=$B$47,$I$12=$M86),"oo","-")</f>
        <v>-</v>
      </c>
      <c r="Z86" s="30" t="str">
        <f>IF(AND($G$13=$B$47,$I$13=$M86),"oo","-")</f>
        <v>-</v>
      </c>
      <c r="AA86" s="30" t="str">
        <f>IF(AND($G$14=$B$47,$I$14=$M86),"oo","-")</f>
        <v>-</v>
      </c>
      <c r="AB86" s="30" t="str">
        <f>IF(AND($G$15=$B$47,$I$15=$M86),"oo","-")</f>
        <v>-</v>
      </c>
      <c r="AC86" s="30" t="str">
        <f>IF(AND($G$16=$B$47,$I$16=$M86),"oo","-")</f>
        <v>-</v>
      </c>
      <c r="AD86" s="59"/>
    </row>
    <row r="87" spans="1:30" ht="21.75" hidden="1" customHeight="1" x14ac:dyDescent="0.15">
      <c r="H87" s="57"/>
      <c r="K87" s="109" t="s">
        <v>203</v>
      </c>
      <c r="L87" s="30" t="s">
        <v>157</v>
      </c>
      <c r="M87" s="101" t="s">
        <v>292</v>
      </c>
      <c r="N87" s="106">
        <v>3.49</v>
      </c>
      <c r="O87" s="107">
        <v>0.49</v>
      </c>
      <c r="P87" s="107">
        <v>0.26</v>
      </c>
      <c r="Q87" s="107">
        <v>0.11</v>
      </c>
      <c r="R87" s="70"/>
      <c r="T87" s="30" t="str">
        <f>IF(AND($G$7=$B$47,$I$7=$M87),"pp","-")</f>
        <v>-</v>
      </c>
      <c r="U87" s="30" t="str">
        <f>IF(AND($G$8=$B$47,$I$8=$M87),"pp","-")</f>
        <v>-</v>
      </c>
      <c r="V87" s="30" t="str">
        <f>IF(AND($G$9=$B$47,$I$9=$M87),"pp","-")</f>
        <v>-</v>
      </c>
      <c r="W87" s="30" t="str">
        <f>IF(AND($G$10=$B$47,$I$10=$M87),"pp","-")</f>
        <v>-</v>
      </c>
      <c r="X87" s="30" t="str">
        <f>IF(AND($G$11=$B$47,$I$11=$M87),"pp","-")</f>
        <v>-</v>
      </c>
      <c r="Y87" s="30" t="str">
        <f>IF(AND($G$12=$B$47,$I$12=$M87),"pp","-")</f>
        <v>-</v>
      </c>
      <c r="Z87" s="30" t="str">
        <f>IF(AND($G$13=$B$47,$I$13=$M87),"pp","-")</f>
        <v>-</v>
      </c>
      <c r="AA87" s="30" t="str">
        <f>IF(AND($G$14=$B$47,$I$14=$M87),"pp","-")</f>
        <v>-</v>
      </c>
      <c r="AB87" s="30" t="str">
        <f>IF(AND($G$15=$B$47,$I$15=$M87),"pp","-")</f>
        <v>-</v>
      </c>
      <c r="AC87" s="30" t="str">
        <f>IF(AND($G$16=$B$47,$I$16=$M87),"pp","-")</f>
        <v>-</v>
      </c>
      <c r="AD87" s="64"/>
    </row>
    <row r="88" spans="1:30" ht="21.75" hidden="1" customHeight="1" x14ac:dyDescent="0.15">
      <c r="H88" s="2"/>
      <c r="K88" s="109" t="s">
        <v>204</v>
      </c>
      <c r="L88" s="30" t="s">
        <v>157</v>
      </c>
      <c r="M88" s="101" t="s">
        <v>293</v>
      </c>
      <c r="N88" s="106">
        <v>3.49</v>
      </c>
      <c r="O88" s="107">
        <v>0.3</v>
      </c>
      <c r="P88" s="107">
        <v>0.19</v>
      </c>
      <c r="Q88" s="107">
        <v>0.08</v>
      </c>
      <c r="R88" s="70"/>
      <c r="T88" s="30" t="str">
        <f>IF(AND($G$7=$B$47,$I$7=$M88),"qq","-")</f>
        <v>-</v>
      </c>
      <c r="U88" s="30" t="str">
        <f>IF(AND($G$8=$B$47,$I$8=$M88),"qq","-")</f>
        <v>-</v>
      </c>
      <c r="V88" s="30" t="str">
        <f>IF(AND($G$9=$B$47,$I$9=$M88),"qq","-")</f>
        <v>-</v>
      </c>
      <c r="W88" s="30" t="str">
        <f>IF(AND($G$10=$B$47,$I$10=$M88),"qq","-")</f>
        <v>-</v>
      </c>
      <c r="X88" s="30" t="str">
        <f>IF(AND($G$11=$B$47,$I$11=$M88),"qq","-")</f>
        <v>-</v>
      </c>
      <c r="Y88" s="30" t="str">
        <f>IF(AND($G$12=$B$47,$I$12=$M88),"qq","-")</f>
        <v>-</v>
      </c>
      <c r="Z88" s="30" t="str">
        <f>IF(AND($G$13=$B$47,$I$13=$M88),"qq","-")</f>
        <v>-</v>
      </c>
      <c r="AA88" s="30" t="str">
        <f>IF(AND($G$14=$B$47,$I$14=$M88),"qq","-")</f>
        <v>-</v>
      </c>
      <c r="AB88" s="30" t="str">
        <f>IF(AND($G$15=$B$47,$I$15=$M88),"qq","-")</f>
        <v>-</v>
      </c>
      <c r="AC88" s="30" t="str">
        <f>IF(AND($G$16=$B$47,$I$16=$M88),"qq","-")</f>
        <v>-</v>
      </c>
      <c r="AD88" s="64"/>
    </row>
    <row r="89" spans="1:30" ht="21.75" hidden="1" customHeight="1" x14ac:dyDescent="0.15">
      <c r="H89" s="2"/>
      <c r="K89" s="109" t="s">
        <v>205</v>
      </c>
      <c r="L89" s="30" t="s">
        <v>157</v>
      </c>
      <c r="M89" s="101" t="s">
        <v>294</v>
      </c>
      <c r="N89" s="106">
        <v>3.49</v>
      </c>
      <c r="O89" s="107">
        <v>0.13</v>
      </c>
      <c r="P89" s="107">
        <v>0.1</v>
      </c>
      <c r="Q89" s="107">
        <v>0.05</v>
      </c>
      <c r="R89" s="70"/>
      <c r="T89" s="30" t="str">
        <f>IF(AND($G$7=$B$47,$I$7=$M89),"rr","-")</f>
        <v>-</v>
      </c>
      <c r="U89" s="30" t="str">
        <f>IF(AND($G$8=$B$47,$I$8=$M89),"rr","-")</f>
        <v>-</v>
      </c>
      <c r="V89" s="30" t="str">
        <f>IF(AND($G$9=$B$47,$I$9=$M89),"rr","-")</f>
        <v>-</v>
      </c>
      <c r="W89" s="30" t="str">
        <f>IF(AND($G$10=$B$47,$I$10=$M89),"rr","-")</f>
        <v>-</v>
      </c>
      <c r="X89" s="30" t="str">
        <f>IF(AND($G$11=$B$47,$I$11=$M89),"rr","-")</f>
        <v>-</v>
      </c>
      <c r="Y89" s="30" t="str">
        <f>IF(AND($G$12=$B$47,$I$12=$M89),"rr","-")</f>
        <v>-</v>
      </c>
      <c r="Z89" s="30" t="str">
        <f>IF(AND($G$13=$B$47,$I$13=$M89),"rr","-")</f>
        <v>-</v>
      </c>
      <c r="AA89" s="30" t="str">
        <f>IF(AND($G$14=$B$47,$I$14=$M89),"rr","-")</f>
        <v>-</v>
      </c>
      <c r="AB89" s="30" t="str">
        <f>IF(AND($G$15=$B$47,$I$15=$M89),"rr","-")</f>
        <v>-</v>
      </c>
      <c r="AC89" s="30" t="str">
        <f>IF(AND($G$16=$B$47,$I$16=$M89),"rr","-")</f>
        <v>-</v>
      </c>
      <c r="AD89" s="64"/>
    </row>
    <row r="90" spans="1:30" ht="21.75" hidden="1" customHeight="1" x14ac:dyDescent="0.15">
      <c r="H90" s="2"/>
      <c r="K90" s="109" t="s">
        <v>206</v>
      </c>
      <c r="L90" s="30" t="s">
        <v>157</v>
      </c>
      <c r="M90" s="101" t="s">
        <v>295</v>
      </c>
      <c r="N90" s="106">
        <v>3.49</v>
      </c>
      <c r="O90" s="107">
        <v>0.42</v>
      </c>
      <c r="P90" s="107">
        <v>0.22</v>
      </c>
      <c r="Q90" s="107">
        <v>0.1</v>
      </c>
      <c r="R90" s="70"/>
      <c r="T90" s="30" t="str">
        <f>IF(AND($G$7=$B$47,$I$7=$M90),"ss","-")</f>
        <v>-</v>
      </c>
      <c r="U90" s="30" t="str">
        <f>IF(AND($G$8=$B$47,$I$8=$M90),"ss","-")</f>
        <v>-</v>
      </c>
      <c r="V90" s="30" t="str">
        <f>IF(AND($G$9=$B$47,$I$9=$M90),"ss","-")</f>
        <v>-</v>
      </c>
      <c r="W90" s="30" t="str">
        <f>IF(AND($G$10=$B$47,$I$10=$M90),"ss","-")</f>
        <v>-</v>
      </c>
      <c r="X90" s="30" t="str">
        <f>IF(AND($G$11=$B$47,$I$11=$M90),"ss","-")</f>
        <v>-</v>
      </c>
      <c r="Y90" s="30" t="str">
        <f>IF(AND($G$12=$B$47,$I$12=$M90),"ss","-")</f>
        <v>-</v>
      </c>
      <c r="Z90" s="30" t="str">
        <f>IF(AND($G$13=$B$47,$I$13=$M90),"ss","-")</f>
        <v>-</v>
      </c>
      <c r="AA90" s="30" t="str">
        <f>IF(AND($G$14=$B$47,$I$14=$M90),"ss","-")</f>
        <v>-</v>
      </c>
      <c r="AB90" s="30" t="str">
        <f>IF(AND($G$15=$B$47,$I$15=$M90),"ss","-")</f>
        <v>-</v>
      </c>
      <c r="AC90" s="30" t="str">
        <f>IF(AND($G$16=$B$47,$I$16=$M90),"ss","-")</f>
        <v>-</v>
      </c>
      <c r="AD90" s="60"/>
    </row>
    <row r="91" spans="1:30" ht="21.75" hidden="1" customHeight="1" x14ac:dyDescent="0.15">
      <c r="H91" s="2"/>
      <c r="K91" s="109" t="s">
        <v>207</v>
      </c>
      <c r="L91" s="30" t="s">
        <v>157</v>
      </c>
      <c r="M91" s="101" t="s">
        <v>296</v>
      </c>
      <c r="N91" s="106">
        <v>3.49</v>
      </c>
      <c r="O91" s="107">
        <v>0.63</v>
      </c>
      <c r="P91" s="107">
        <v>0.3</v>
      </c>
      <c r="Q91" s="107">
        <v>0.14000000000000001</v>
      </c>
      <c r="R91" s="70"/>
      <c r="T91" s="30" t="str">
        <f>IF(AND($G$7=$B$47,$I$7=$M91),"tt","-")</f>
        <v>-</v>
      </c>
      <c r="U91" s="30" t="str">
        <f>IF(AND($G$8=$B$47,$I$8=$M91),"tt","-")</f>
        <v>-</v>
      </c>
      <c r="V91" s="30" t="str">
        <f>IF(AND($G$9=$B$47,$I$9=$M91),"tt","-")</f>
        <v>-</v>
      </c>
      <c r="W91" s="30" t="str">
        <f>IF(AND($G$10=$B$47,$I$10=$M91),"tt","-")</f>
        <v>-</v>
      </c>
      <c r="X91" s="30" t="str">
        <f>IF(AND($G$11=$B$47,$I$11=$M91),"tt","-")</f>
        <v>-</v>
      </c>
      <c r="Y91" s="30" t="str">
        <f>IF(AND($G$12=$B$47,$I$12=$M91),"tt","-")</f>
        <v>-</v>
      </c>
      <c r="Z91" s="30" t="str">
        <f>IF(AND($G$13=$B$47,$I$13=$M91),"tt","-")</f>
        <v>-</v>
      </c>
      <c r="AA91" s="30" t="str">
        <f>IF(AND($G$14=$B$47,$I$14=$M91),"tt","-")</f>
        <v>-</v>
      </c>
      <c r="AB91" s="30" t="str">
        <f>IF(AND($G$15=$B$47,$I$15=$M91),"tt","-")</f>
        <v>-</v>
      </c>
      <c r="AC91" s="30" t="str">
        <f>IF(AND($G$16=$B$47,$I$16=$M91),"tt","-")</f>
        <v>-</v>
      </c>
      <c r="AD91" s="60"/>
    </row>
    <row r="92" spans="1:30" ht="21.75" hidden="1" customHeight="1" x14ac:dyDescent="0.15">
      <c r="H92" s="2"/>
      <c r="K92" s="109" t="s">
        <v>208</v>
      </c>
      <c r="L92" s="30" t="s">
        <v>157</v>
      </c>
      <c r="M92" s="101" t="s">
        <v>306</v>
      </c>
      <c r="N92" s="106">
        <v>4.07</v>
      </c>
      <c r="O92" s="107">
        <v>0.49</v>
      </c>
      <c r="P92" s="107">
        <v>0.26</v>
      </c>
      <c r="Q92" s="107">
        <v>0.11</v>
      </c>
      <c r="R92" s="70"/>
      <c r="T92" s="30" t="str">
        <f>IF(AND($G$7=$B$47,$I$7=$M92),"uu","-")</f>
        <v>-</v>
      </c>
      <c r="U92" s="30" t="str">
        <f>IF(AND($G$8=$B$47,$I$8=$M92),"uu","-")</f>
        <v>-</v>
      </c>
      <c r="V92" s="30" t="str">
        <f>IF(AND($G$9=$B$47,$I$9=$M92),"uu","-")</f>
        <v>-</v>
      </c>
      <c r="W92" s="30" t="str">
        <f>IF(AND($G$10=$B$47,$I$10=$M92),"uu","-")</f>
        <v>-</v>
      </c>
      <c r="X92" s="30" t="str">
        <f>IF(AND($G$11=$B$47,$I$11=$M92),"uu","-")</f>
        <v>-</v>
      </c>
      <c r="Y92" s="30" t="str">
        <f>IF(AND($G$12=$B$47,$I$12=$M92),"uu","-")</f>
        <v>-</v>
      </c>
      <c r="Z92" s="30" t="str">
        <f>IF(AND($G$13=$B$47,$I$13=$M92),"uu","-")</f>
        <v>-</v>
      </c>
      <c r="AA92" s="30" t="str">
        <f>IF(AND($G$14=$B$47,$I$14=$M92),"uu","-")</f>
        <v>-</v>
      </c>
      <c r="AB92" s="30" t="str">
        <f>IF(AND($G$15=$B$47,$I$15=$M92),"uu","-")</f>
        <v>-</v>
      </c>
      <c r="AC92" s="30" t="str">
        <f>IF(AND($G$16=$B$47,$I$16=$M92),"uu","-")</f>
        <v>-</v>
      </c>
      <c r="AD92" s="60"/>
    </row>
    <row r="93" spans="1:30" ht="21.75" hidden="1" customHeight="1" x14ac:dyDescent="0.15">
      <c r="H93" s="2"/>
      <c r="K93" s="109" t="s">
        <v>209</v>
      </c>
      <c r="L93" s="30" t="s">
        <v>157</v>
      </c>
      <c r="M93" s="101" t="s">
        <v>307</v>
      </c>
      <c r="N93" s="106">
        <v>4.07</v>
      </c>
      <c r="O93" s="107">
        <v>0.3</v>
      </c>
      <c r="P93" s="107">
        <v>0.19</v>
      </c>
      <c r="Q93" s="107">
        <v>0.08</v>
      </c>
      <c r="R93" s="70"/>
      <c r="T93" s="30" t="str">
        <f>IF(AND($G$7=$B$47,$I$7=$M93),"vv","-")</f>
        <v>-</v>
      </c>
      <c r="U93" s="30" t="str">
        <f>IF(AND($G$8=$B$47,$I$8=$M93),"vv","-")</f>
        <v>-</v>
      </c>
      <c r="V93" s="30" t="str">
        <f>IF(AND($G$9=$B$47,$I$9=$M93),"vv","-")</f>
        <v>-</v>
      </c>
      <c r="W93" s="30" t="str">
        <f>IF(AND($G$10=$B$47,$I$10=$M93),"vv","-")</f>
        <v>-</v>
      </c>
      <c r="X93" s="30" t="str">
        <f>IF(AND($G$11=$B$47,$I$11=$M93),"vv","-")</f>
        <v>-</v>
      </c>
      <c r="Y93" s="30" t="str">
        <f>IF(AND($G$12=$B$47,$I$12=$M93),"vv","-")</f>
        <v>-</v>
      </c>
      <c r="Z93" s="30" t="str">
        <f>IF(AND($G$13=$B$47,$I$13=$M93),"vv","-")</f>
        <v>-</v>
      </c>
      <c r="AA93" s="30" t="str">
        <f>IF(AND($G$14=$B$47,$I$14=$M93),"vv","-")</f>
        <v>-</v>
      </c>
      <c r="AB93" s="30" t="str">
        <f>IF(AND($G$15=$B$47,$I$15=$M93),"vv","-")</f>
        <v>-</v>
      </c>
      <c r="AC93" s="30" t="str">
        <f>IF(AND($G$16=$B$47,$I$16=$M93),"vv","-")</f>
        <v>-</v>
      </c>
      <c r="AD93" s="65"/>
    </row>
    <row r="94" spans="1:30" ht="21.75" hidden="1" customHeight="1" x14ac:dyDescent="0.15">
      <c r="H94" s="2"/>
      <c r="K94" s="109" t="s">
        <v>211</v>
      </c>
      <c r="L94" s="30" t="s">
        <v>157</v>
      </c>
      <c r="M94" s="101" t="s">
        <v>308</v>
      </c>
      <c r="N94" s="106">
        <v>4.07</v>
      </c>
      <c r="O94" s="107">
        <v>0.13</v>
      </c>
      <c r="P94" s="107">
        <v>0.1</v>
      </c>
      <c r="Q94" s="107">
        <v>0.05</v>
      </c>
      <c r="R94" s="70"/>
      <c r="T94" s="30" t="str">
        <f>IF(AND($G$7=$B$47,$I$7=$M94),"ww","-")</f>
        <v>-</v>
      </c>
      <c r="U94" s="30" t="str">
        <f>IF(AND($G$8=$B$47,$I$8=$M94),"ww","-")</f>
        <v>-</v>
      </c>
      <c r="V94" s="30" t="str">
        <f>IF(AND($G$9=$B$47,$I$9=$M94),"ww","-")</f>
        <v>-</v>
      </c>
      <c r="W94" s="30" t="str">
        <f>IF(AND($G$10=$B$47,$I$10=$M94),"ww","-")</f>
        <v>-</v>
      </c>
      <c r="X94" s="30" t="str">
        <f>IF(AND($G$11=$B$47,$I$11=$M94),"ww","-")</f>
        <v>-</v>
      </c>
      <c r="Y94" s="30" t="str">
        <f>IF(AND($G$12=$B$47,$I$12=$M94),"ww","-")</f>
        <v>-</v>
      </c>
      <c r="Z94" s="30" t="str">
        <f>IF(AND($G$13=$B$47,$I$13=$M94),"ww","-")</f>
        <v>-</v>
      </c>
      <c r="AA94" s="30" t="str">
        <f>IF(AND($G$14=$B$47,$I$14=$M94),"ww","-")</f>
        <v>-</v>
      </c>
      <c r="AB94" s="30" t="str">
        <f>IF(AND($G$15=$B$47,$I$15=$M94),"ww","-")</f>
        <v>-</v>
      </c>
      <c r="AC94" s="30" t="str">
        <f>IF(AND($G$16=$B$47,$I$16=$M94),"ww","-")</f>
        <v>-</v>
      </c>
      <c r="AD94" s="65"/>
    </row>
    <row r="95" spans="1:30" ht="21.75" hidden="1" customHeight="1" x14ac:dyDescent="0.15">
      <c r="H95" s="2"/>
      <c r="K95" s="109" t="s">
        <v>212</v>
      </c>
      <c r="L95" s="30" t="s">
        <v>157</v>
      </c>
      <c r="M95" s="101" t="s">
        <v>309</v>
      </c>
      <c r="N95" s="106">
        <v>4.07</v>
      </c>
      <c r="O95" s="107">
        <v>0.42</v>
      </c>
      <c r="P95" s="107">
        <v>0.22</v>
      </c>
      <c r="Q95" s="107">
        <v>0.1</v>
      </c>
      <c r="R95" s="54"/>
      <c r="S95" s="30"/>
      <c r="T95" s="30" t="str">
        <f>IF(AND($G$7=$B$47,$I$7=$M95),"xx","-")</f>
        <v>-</v>
      </c>
      <c r="U95" s="30" t="str">
        <f>IF(AND($G$8=$B$47,$I$8=$M95),"xx","-")</f>
        <v>-</v>
      </c>
      <c r="V95" s="30" t="str">
        <f>IF(AND($G$9=$B$47,$I$9=$M95),"xx","-")</f>
        <v>-</v>
      </c>
      <c r="W95" s="30" t="str">
        <f>IF(AND($G$10=$B$47,$I$10=$M95),"xx","-")</f>
        <v>-</v>
      </c>
      <c r="X95" s="30" t="str">
        <f>IF(AND($G$11=$B$47,$I$11=$M95),"xx","-")</f>
        <v>-</v>
      </c>
      <c r="Y95" s="30" t="str">
        <f>IF(AND($G$12=$B$47,$I$12=$M95),"xx","-")</f>
        <v>-</v>
      </c>
      <c r="Z95" s="30" t="str">
        <f>IF(AND($G$13=$B$47,$I$13=$M95),"xx","-")</f>
        <v>-</v>
      </c>
      <c r="AA95" s="30" t="str">
        <f>IF(AND($G$14=$B$47,$I$14=$M95),"xx","-")</f>
        <v>-</v>
      </c>
      <c r="AB95" s="30" t="str">
        <f>IF(AND($G$15=$B$47,$I$15=$M95),"xx","-")</f>
        <v>-</v>
      </c>
      <c r="AC95" s="30" t="str">
        <f>IF(AND($G$16=$B$47,$I$16=$M95),"xx","-")</f>
        <v>-</v>
      </c>
      <c r="AD95" s="29"/>
    </row>
    <row r="96" spans="1:30" ht="21.75" hidden="1" customHeight="1" x14ac:dyDescent="0.15">
      <c r="H96" s="3"/>
      <c r="I96" s="3"/>
      <c r="J96" s="30"/>
      <c r="K96" s="110" t="s">
        <v>213</v>
      </c>
      <c r="L96" s="30" t="s">
        <v>157</v>
      </c>
      <c r="M96" s="101" t="s">
        <v>310</v>
      </c>
      <c r="N96" s="106">
        <v>4.07</v>
      </c>
      <c r="O96" s="107">
        <v>0.63</v>
      </c>
      <c r="P96" s="107">
        <v>0.3</v>
      </c>
      <c r="Q96" s="107">
        <v>0.14000000000000001</v>
      </c>
      <c r="R96" s="3"/>
      <c r="S96" s="30"/>
      <c r="T96" s="30" t="str">
        <f>IF(AND($G$7=$B$47,$I$7=$M96),"yy","-")</f>
        <v>-</v>
      </c>
      <c r="U96" s="30" t="str">
        <f>IF(AND($G$8=$B$47,$I$8=$M96),"yy","-")</f>
        <v>-</v>
      </c>
      <c r="V96" s="30" t="str">
        <f>IF(AND($G$9=$B$47,$I$9=$M96),"yy","-")</f>
        <v>-</v>
      </c>
      <c r="W96" s="30" t="str">
        <f>IF(AND($G$10=$B$47,$I$10=$M96),"yy","-")</f>
        <v>-</v>
      </c>
      <c r="X96" s="30" t="str">
        <f>IF(AND($G$11=$B$47,$I$11=$M96),"yy","-")</f>
        <v>-</v>
      </c>
      <c r="Y96" s="30" t="str">
        <f>IF(AND($G$12=$B$47,$I$12=$M96),"yy","-")</f>
        <v>-</v>
      </c>
      <c r="Z96" s="30" t="str">
        <f>IF(AND($G$13=$B$47,$I$13=$M96),"yy","-")</f>
        <v>-</v>
      </c>
      <c r="AA96" s="30" t="str">
        <f>IF(AND($G$14=$B$47,$I$14=$M96),"yy","-")</f>
        <v>-</v>
      </c>
      <c r="AB96" s="30" t="str">
        <f>IF(AND($G$15=$B$47,$I$15=$M96),"yy","-")</f>
        <v>-</v>
      </c>
      <c r="AC96" s="30" t="str">
        <f>IF(AND($G$16=$B$47,$I$16=$M96),"yy","-")</f>
        <v>-</v>
      </c>
      <c r="AD96" s="29"/>
    </row>
    <row r="97" spans="1:30" ht="21.75" hidden="1" customHeight="1" x14ac:dyDescent="0.15">
      <c r="A97" s="2"/>
      <c r="B97" s="51"/>
      <c r="C97" s="2"/>
      <c r="D97" s="2"/>
      <c r="E97" s="2"/>
      <c r="F97" s="2"/>
      <c r="G97" s="2"/>
      <c r="H97" s="2"/>
      <c r="I97" s="2"/>
      <c r="J97" s="2"/>
      <c r="K97" s="2" t="s">
        <v>214</v>
      </c>
      <c r="L97" s="66" t="s">
        <v>158</v>
      </c>
      <c r="M97" s="102" t="s">
        <v>290</v>
      </c>
      <c r="N97" s="49">
        <v>2.91</v>
      </c>
      <c r="O97" s="107">
        <v>0.51</v>
      </c>
      <c r="P97" s="107">
        <v>0.3</v>
      </c>
      <c r="Q97" s="107">
        <v>0.12</v>
      </c>
      <c r="R97" s="2"/>
      <c r="S97" s="2"/>
      <c r="T97" s="30" t="str">
        <f>IF(AND($G$7=$B$48,$I$7=$M97),"zz","-")</f>
        <v>-</v>
      </c>
      <c r="U97" s="30" t="str">
        <f>IF(AND($G$8=$B$48,$I$8=$M97),"zz","-")</f>
        <v>-</v>
      </c>
      <c r="V97" s="30" t="str">
        <f>IF(AND($G$9=$B$48,$I$9=$M97),"zz","-")</f>
        <v>-</v>
      </c>
      <c r="W97" s="30" t="str">
        <f>IF(AND($G$10=$B$48,$I$10=$M97),"zz","-")</f>
        <v>-</v>
      </c>
      <c r="X97" s="30" t="str">
        <f>IF(AND($G$11=$B$48,$I$11=$M97),"zz","-")</f>
        <v>-</v>
      </c>
      <c r="Y97" s="30" t="str">
        <f>IF(AND($G$12=$B$48,$I$12=$M97),"zz","-")</f>
        <v>-</v>
      </c>
      <c r="Z97" s="30" t="str">
        <f>IF(AND($G$13=$B$48,$I$13=$M97),"zz","-")</f>
        <v>-</v>
      </c>
      <c r="AA97" s="30" t="str">
        <f>IF(AND($G$14=$B$48,$I$14=$M97),"zz","-")</f>
        <v>-</v>
      </c>
      <c r="AB97" s="30" t="str">
        <f>IF(AND($G$15=$B$48,$I$15=$M97),"zz","-")</f>
        <v>-</v>
      </c>
      <c r="AC97" s="30" t="str">
        <f>IF(AND($G$16=$B$48,$I$16=$M97),"zz","-")</f>
        <v>-</v>
      </c>
    </row>
    <row r="98" spans="1:30" ht="21.75" hidden="1" customHeight="1" x14ac:dyDescent="0.15">
      <c r="A98" s="2"/>
      <c r="B98" s="51"/>
      <c r="C98" s="2"/>
      <c r="D98" s="2"/>
      <c r="E98" s="2"/>
      <c r="F98" s="2"/>
      <c r="G98" s="2"/>
      <c r="H98" s="6"/>
      <c r="I98" s="2"/>
      <c r="J98" s="2"/>
      <c r="K98" s="2" t="s">
        <v>215</v>
      </c>
      <c r="L98" s="66" t="s">
        <v>158</v>
      </c>
      <c r="M98" s="102" t="s">
        <v>291</v>
      </c>
      <c r="N98" s="49">
        <v>2.91</v>
      </c>
      <c r="O98" s="107">
        <v>0.32</v>
      </c>
      <c r="P98" s="107">
        <v>0.21</v>
      </c>
      <c r="Q98" s="107">
        <v>0.09</v>
      </c>
      <c r="R98" s="30"/>
      <c r="S98" s="30"/>
      <c r="T98" s="30" t="str">
        <f>IF(AND($G$7=$B$48,$I$7=$M98),"aaa","-")</f>
        <v>-</v>
      </c>
      <c r="U98" s="30" t="str">
        <f>IF(AND($G$8=$B$48,$I$8=$M98),"aaa","-")</f>
        <v>-</v>
      </c>
      <c r="V98" s="30" t="str">
        <f>IF(AND($G$9=$B$48,$I$9=$M98),"aaa","-")</f>
        <v>-</v>
      </c>
      <c r="W98" s="30" t="str">
        <f>IF(AND($G$10=$B$48,$I$10=$M98),"aaa","-")</f>
        <v>-</v>
      </c>
      <c r="X98" s="30" t="str">
        <f>IF(AND($G$11=$B$48,$I$11=$M98),"aaa","-")</f>
        <v>-</v>
      </c>
      <c r="Y98" s="30" t="str">
        <f>IF(AND($G$12=$B$48,$I$12=$M98),"aaa","-")</f>
        <v>-</v>
      </c>
      <c r="Z98" s="30" t="str">
        <f>IF(AND($G$13=$B$48,$I$13=$M98),"aaa","-")</f>
        <v>-</v>
      </c>
      <c r="AA98" s="30" t="str">
        <f>IF(AND($G$14=$B$48,$I$14=$M98),"aaa","-")</f>
        <v>-</v>
      </c>
      <c r="AB98" s="30" t="str">
        <f>IF(AND($G$15=$B$48,$I$15=$M98),"aaa","-")</f>
        <v>-</v>
      </c>
      <c r="AC98" s="30" t="str">
        <f>IF(AND($G$16=$B$48,$I$16=$M98),"aaa","-")</f>
        <v>-</v>
      </c>
      <c r="AD98" s="59"/>
    </row>
    <row r="99" spans="1:30" ht="21.75" hidden="1" customHeight="1" x14ac:dyDescent="0.15">
      <c r="A99" s="30"/>
      <c r="B99" s="80"/>
      <c r="C99" s="78"/>
      <c r="D99" s="2"/>
      <c r="E99" s="2"/>
      <c r="F99" s="2"/>
      <c r="G99" s="30"/>
      <c r="H99" s="6"/>
      <c r="J99" s="30"/>
      <c r="K99" s="110" t="s">
        <v>216</v>
      </c>
      <c r="L99" s="66" t="s">
        <v>158</v>
      </c>
      <c r="M99" s="102" t="s">
        <v>299</v>
      </c>
      <c r="N99" s="49">
        <v>2.91</v>
      </c>
      <c r="O99" s="107">
        <v>0.51</v>
      </c>
      <c r="P99" s="107">
        <v>0.3</v>
      </c>
      <c r="Q99" s="107">
        <v>0.12</v>
      </c>
      <c r="R99" s="66"/>
      <c r="S99" s="66"/>
      <c r="T99" s="30" t="str">
        <f>IF(AND($G$7=$B$48,$I$7=$M99),"bbb","-")</f>
        <v>-</v>
      </c>
      <c r="U99" s="30" t="str">
        <f>IF(AND($G$8=$B$48,$I$8=$M99),"bbb","-")</f>
        <v>-</v>
      </c>
      <c r="V99" s="30" t="str">
        <f>IF(AND($G$9=$B$48,$I$9=$M99),"bbb","-")</f>
        <v>-</v>
      </c>
      <c r="W99" s="30" t="str">
        <f>IF(AND($G$10=$B$48,$I$10=$M99),"bbb","-")</f>
        <v>-</v>
      </c>
      <c r="X99" s="30" t="str">
        <f>IF(AND($G$11=$B$48,$I$11=$M99),"bbb","-")</f>
        <v>-</v>
      </c>
      <c r="Y99" s="30" t="str">
        <f>IF(AND($G$12=$B$48,$I$12=$M99),"bbb","-")</f>
        <v>-</v>
      </c>
      <c r="Z99" s="30" t="str">
        <f>IF(AND($G$13=$B$48,$I$13=$M99),"bbb","-")</f>
        <v>-</v>
      </c>
      <c r="AA99" s="30" t="str">
        <f>IF(AND($G$14=$B$48,$I$14=$M99),"bbb","-")</f>
        <v>-</v>
      </c>
      <c r="AB99" s="30" t="str">
        <f>IF(AND($G$15=$B$48,$I$15=$M99),"bbb","-")</f>
        <v>-</v>
      </c>
      <c r="AC99" s="30" t="str">
        <f>IF(AND($G$16=$B$48,$I$16=$M99),"bbb","-")</f>
        <v>-</v>
      </c>
      <c r="AD99" s="59"/>
    </row>
    <row r="100" spans="1:30" ht="21.75" hidden="1" customHeight="1" x14ac:dyDescent="0.15">
      <c r="A100" s="30"/>
      <c r="B100" s="80"/>
      <c r="C100" s="78"/>
      <c r="D100" s="2"/>
      <c r="E100" s="2"/>
      <c r="F100" s="2"/>
      <c r="G100" s="56"/>
      <c r="H100" s="6"/>
      <c r="J100" s="30"/>
      <c r="K100" s="110" t="s">
        <v>217</v>
      </c>
      <c r="L100" s="66" t="s">
        <v>158</v>
      </c>
      <c r="M100" s="102" t="s">
        <v>300</v>
      </c>
      <c r="N100" s="49">
        <v>2.91</v>
      </c>
      <c r="O100" s="107">
        <v>0.32</v>
      </c>
      <c r="P100" s="107">
        <v>0.21</v>
      </c>
      <c r="Q100" s="107">
        <v>0.09</v>
      </c>
      <c r="R100" s="66"/>
      <c r="S100" s="66"/>
      <c r="T100" s="30" t="str">
        <f>IF(AND($G$7=$B$48,$I$7=$M100),"ccc","-")</f>
        <v>-</v>
      </c>
      <c r="U100" s="30" t="str">
        <f>IF(AND($G$8=$B$48,$I$8=$M100),"ccc","-")</f>
        <v>-</v>
      </c>
      <c r="V100" s="30" t="str">
        <f>IF(AND($G$9=$B$48,$I$9=$M100),"ccc","-")</f>
        <v>-</v>
      </c>
      <c r="W100" s="30" t="str">
        <f>IF(AND($G$10=$B$48,$I$10=$M100),"ccc","-")</f>
        <v>-</v>
      </c>
      <c r="X100" s="30" t="str">
        <f>IF(AND($G$11=$B$48,$I$11=$M100),"ccc","-")</f>
        <v>-</v>
      </c>
      <c r="Y100" s="30" t="str">
        <f>IF(AND($G$12=$B$48,$I$12=$M100),"ccc","-")</f>
        <v>-</v>
      </c>
      <c r="Z100" s="30" t="str">
        <f>IF(AND($G$13=$B$48,$I$13=$M100),"ccc","-")</f>
        <v>-</v>
      </c>
      <c r="AA100" s="30" t="str">
        <f>IF(AND($G$14=$B$48,$I$14=$M100),"ccc","-")</f>
        <v>-</v>
      </c>
      <c r="AB100" s="30" t="str">
        <f>IF(AND($G$15=$B$48,$I$15=$M100),"ccc","-")</f>
        <v>-</v>
      </c>
      <c r="AC100" s="30" t="str">
        <f>IF(AND($G$16=$B$48,$I$16=$M100),"ccc","-")</f>
        <v>-</v>
      </c>
      <c r="AD100" s="59"/>
    </row>
    <row r="101" spans="1:30" ht="21.75" hidden="1" customHeight="1" x14ac:dyDescent="0.15">
      <c r="A101" s="30"/>
      <c r="B101" s="80"/>
      <c r="C101" s="78"/>
      <c r="D101" s="2"/>
      <c r="E101" s="2"/>
      <c r="F101" s="2"/>
      <c r="G101" s="30"/>
      <c r="H101" s="6"/>
      <c r="J101" s="30"/>
      <c r="K101" s="110" t="s">
        <v>218</v>
      </c>
      <c r="L101" s="66" t="s">
        <v>158</v>
      </c>
      <c r="M101" s="102" t="s">
        <v>313</v>
      </c>
      <c r="N101" s="49">
        <v>3.49</v>
      </c>
      <c r="O101" s="107">
        <v>0.51</v>
      </c>
      <c r="P101" s="107">
        <v>0.3</v>
      </c>
      <c r="Q101" s="107">
        <v>0.12</v>
      </c>
      <c r="R101" s="66"/>
      <c r="S101" s="66"/>
      <c r="T101" s="30" t="str">
        <f>IF(AND($G$7=$B$48,$I$7=$M101),"ddd","-")</f>
        <v>-</v>
      </c>
      <c r="U101" s="30" t="str">
        <f>IF(AND($G$8=$B$48,$I$8=$M101),"ddd","-")</f>
        <v>-</v>
      </c>
      <c r="V101" s="30" t="str">
        <f>IF(AND($G$9=$B$48,$I$9=$M101),"ddd","-")</f>
        <v>-</v>
      </c>
      <c r="W101" s="30" t="str">
        <f>IF(AND($G$10=$B$48,$I$10=$M101),"ddd","-")</f>
        <v>-</v>
      </c>
      <c r="X101" s="30" t="str">
        <f>IF(AND($G$11=$B$48,$I$11=$M101),"ddd","-")</f>
        <v>-</v>
      </c>
      <c r="Y101" s="30" t="str">
        <f>IF(AND($G$12=$B$48,$I$12=$M101),"ddd","-")</f>
        <v>-</v>
      </c>
      <c r="Z101" s="30" t="str">
        <f>IF(AND($G$13=$B$48,$I$13=$M101),"ddd","-")</f>
        <v>-</v>
      </c>
      <c r="AA101" s="30" t="str">
        <f>IF(AND($G$14=$B$48,$I$14=$M101),"ddd","-")</f>
        <v>-</v>
      </c>
      <c r="AB101" s="30" t="str">
        <f>IF(AND($G$15=$B$48,$I$15=$M101),"ddd","-")</f>
        <v>-</v>
      </c>
      <c r="AC101" s="30" t="str">
        <f>IF(AND($G$16=$B$48,$I$16=$M101),"ddd","-")</f>
        <v>-</v>
      </c>
      <c r="AD101" s="61"/>
    </row>
    <row r="102" spans="1:30" ht="21.75" hidden="1" customHeight="1" x14ac:dyDescent="0.15">
      <c r="A102" s="30"/>
      <c r="B102" s="80"/>
      <c r="C102" s="78"/>
      <c r="D102" s="2"/>
      <c r="E102" s="2"/>
      <c r="F102" s="2"/>
      <c r="G102" s="56"/>
      <c r="H102" s="6"/>
      <c r="J102" s="30"/>
      <c r="K102" s="110" t="s">
        <v>219</v>
      </c>
      <c r="L102" s="66" t="s">
        <v>158</v>
      </c>
      <c r="M102" s="102" t="s">
        <v>314</v>
      </c>
      <c r="N102" s="49">
        <v>3.49</v>
      </c>
      <c r="O102" s="107">
        <v>0.32</v>
      </c>
      <c r="P102" s="107">
        <v>0.21</v>
      </c>
      <c r="Q102" s="107">
        <v>0.09</v>
      </c>
      <c r="R102" s="66"/>
      <c r="S102" s="66"/>
      <c r="T102" s="30" t="str">
        <f>IF(AND($G$7=$B$48,$I$7=$M102),"eee","-")</f>
        <v>-</v>
      </c>
      <c r="U102" s="30" t="str">
        <f>IF(AND($G$8=$B$48,$I$8=$M102),"eee","-")</f>
        <v>-</v>
      </c>
      <c r="V102" s="30" t="str">
        <f>IF(AND($G$9=$B$48,$I$9=$M102),"eee","-")</f>
        <v>-</v>
      </c>
      <c r="W102" s="30" t="str">
        <f>IF(AND($G$10=$B$48,$I$10=$M102),"eee","-")</f>
        <v>-</v>
      </c>
      <c r="X102" s="30" t="str">
        <f>IF(AND($G$11=$B$48,$I$11=$M102),"eee","-")</f>
        <v>-</v>
      </c>
      <c r="Y102" s="30" t="str">
        <f>IF(AND($G$12=$B$48,$I$12=$M102),"eee","-")</f>
        <v>-</v>
      </c>
      <c r="Z102" s="30" t="str">
        <f>IF(AND($G$13=$B$48,$I$13=$M102),"eee","-")</f>
        <v>-</v>
      </c>
      <c r="AA102" s="30" t="str">
        <f>IF(AND($G$14=$B$48,$I$14=$M102),"eee","-")</f>
        <v>-</v>
      </c>
      <c r="AB102" s="30" t="str">
        <f>IF(AND($G$15=$B$48,$I$15=$M102),"eee","-")</f>
        <v>-</v>
      </c>
      <c r="AC102" s="30" t="str">
        <f>IF(AND($G$16=$B$48,$I$16=$M102),"eee","-")</f>
        <v>-</v>
      </c>
      <c r="AD102" s="61"/>
    </row>
    <row r="103" spans="1:30" ht="21.75" hidden="1" customHeight="1" x14ac:dyDescent="0.15">
      <c r="A103" s="30"/>
      <c r="B103" s="80"/>
      <c r="C103" s="78"/>
      <c r="D103" s="2"/>
      <c r="E103" s="2"/>
      <c r="F103" s="2"/>
      <c r="G103" s="30"/>
      <c r="H103" s="2"/>
      <c r="J103" s="30"/>
      <c r="K103" s="110" t="s">
        <v>220</v>
      </c>
      <c r="L103" s="66" t="s">
        <v>158</v>
      </c>
      <c r="M103" s="102" t="s">
        <v>785</v>
      </c>
      <c r="N103" s="49">
        <v>3.49</v>
      </c>
      <c r="O103" s="107">
        <v>0.51</v>
      </c>
      <c r="P103" s="107">
        <v>0.3</v>
      </c>
      <c r="Q103" s="107">
        <v>0.12</v>
      </c>
      <c r="R103" s="66"/>
      <c r="S103" s="66"/>
      <c r="T103" s="30" t="str">
        <f>IF(AND($G$7=$B$48,$I$7=$M103),"fff","-")</f>
        <v>-</v>
      </c>
      <c r="U103" s="30" t="str">
        <f>IF(AND($G$8=$B$48,$I$8=$M103),"fff","-")</f>
        <v>-</v>
      </c>
      <c r="V103" s="30" t="str">
        <f>IF(AND($G$9=$B$48,$I$9=$M103),"fff","-")</f>
        <v>-</v>
      </c>
      <c r="W103" s="30" t="str">
        <f>IF(AND($G$10=$B$48,$I$10=$M103),"fff","-")</f>
        <v>-</v>
      </c>
      <c r="X103" s="30" t="str">
        <f>IF(AND($G$11=$B$48,$I$11=$M103),"fff","-")</f>
        <v>-</v>
      </c>
      <c r="Y103" s="30" t="str">
        <f>IF(AND($G$12=$B$48,$I$12=$M103),"fff","-")</f>
        <v>-</v>
      </c>
      <c r="Z103" s="30" t="str">
        <f>IF(AND($G$13=$B$48,$I$13=$M103),"fff","-")</f>
        <v>-</v>
      </c>
      <c r="AA103" s="30" t="str">
        <f>IF(AND($G$14=$B$48,$I$14=$M103),"fff","-")</f>
        <v>-</v>
      </c>
      <c r="AB103" s="30" t="str">
        <f>IF(AND($G$15=$B$48,$I$15=$M103),"fff","-")</f>
        <v>-</v>
      </c>
      <c r="AC103" s="30" t="str">
        <f>IF(AND($G$16=$B$48,$I$16=$M103),"fff","-")</f>
        <v>-</v>
      </c>
      <c r="AD103" s="67"/>
    </row>
    <row r="104" spans="1:30" ht="21.75" hidden="1" customHeight="1" x14ac:dyDescent="0.15">
      <c r="A104" s="30"/>
      <c r="B104" s="80"/>
      <c r="C104" s="78"/>
      <c r="D104" s="2"/>
      <c r="E104" s="2"/>
      <c r="F104" s="2"/>
      <c r="G104" s="56"/>
      <c r="H104" s="2"/>
      <c r="J104" s="30"/>
      <c r="K104" s="110" t="s">
        <v>221</v>
      </c>
      <c r="L104" s="66" t="s">
        <v>158</v>
      </c>
      <c r="M104" s="102" t="s">
        <v>786</v>
      </c>
      <c r="N104" s="49">
        <v>3.49</v>
      </c>
      <c r="O104" s="107">
        <v>0.32</v>
      </c>
      <c r="P104" s="107">
        <v>0.21</v>
      </c>
      <c r="Q104" s="107">
        <v>0.09</v>
      </c>
      <c r="R104" s="66"/>
      <c r="S104" s="66"/>
      <c r="T104" s="30" t="str">
        <f>IF(AND($G$7=$B$48,$I$7=$M104),"ggg","-")</f>
        <v>-</v>
      </c>
      <c r="U104" s="30" t="str">
        <f>IF(AND($G$8=$B$48,$I$8=$M104),"ggg","-")</f>
        <v>-</v>
      </c>
      <c r="V104" s="30" t="str">
        <f>IF(AND($G$9=$B$48,$I$9=$M104),"ggg","-")</f>
        <v>-</v>
      </c>
      <c r="W104" s="30" t="str">
        <f>IF(AND($G$10=$B$48,$I$10=$M104),"ggg","-")</f>
        <v>-</v>
      </c>
      <c r="X104" s="30" t="str">
        <f>IF(AND($G$11=$B$48,$I$11=$M104),"ggg","-")</f>
        <v>-</v>
      </c>
      <c r="Y104" s="30" t="str">
        <f>IF(AND($G$12=$B$48,$I$12=$M104),"ggg","-")</f>
        <v>-</v>
      </c>
      <c r="Z104" s="30" t="str">
        <f>IF(AND($G$13=$B$48,$I$13=$M104),"ggg","-")</f>
        <v>-</v>
      </c>
      <c r="AA104" s="30" t="str">
        <f>IF(AND($G$14=$B$48,$I$14=$M104),"ggg","-")</f>
        <v>-</v>
      </c>
      <c r="AB104" s="30" t="str">
        <f>IF(AND($G$15=$B$48,$I$15=$M104),"ggg","-")</f>
        <v>-</v>
      </c>
      <c r="AC104" s="30" t="str">
        <f>IF(AND($G$16=$B$48,$I$16=$M104),"ggg","-")</f>
        <v>-</v>
      </c>
      <c r="AD104" s="67"/>
    </row>
    <row r="105" spans="1:30" ht="21.75" hidden="1" customHeight="1" x14ac:dyDescent="0.15">
      <c r="A105" s="30"/>
      <c r="B105" s="80"/>
      <c r="C105" s="78"/>
      <c r="D105" s="2"/>
      <c r="E105" s="2"/>
      <c r="F105" s="2"/>
      <c r="G105" s="30"/>
      <c r="H105" s="2"/>
      <c r="J105" s="30"/>
      <c r="K105" s="110" t="s">
        <v>222</v>
      </c>
      <c r="L105" s="66" t="s">
        <v>158</v>
      </c>
      <c r="M105" s="102" t="s">
        <v>292</v>
      </c>
      <c r="N105" s="49">
        <v>3.49</v>
      </c>
      <c r="O105" s="107">
        <v>0.49</v>
      </c>
      <c r="P105" s="107">
        <v>0.26</v>
      </c>
      <c r="Q105" s="107">
        <v>0.11</v>
      </c>
      <c r="R105" s="66"/>
      <c r="S105" s="66"/>
      <c r="T105" s="30" t="str">
        <f>IF(AND($G$7=$B$48,$I$7=$M105),"hhh","-")</f>
        <v>-</v>
      </c>
      <c r="U105" s="30" t="str">
        <f>IF(AND($G$8=$B$48,$I$8=$M105),"hhh","-")</f>
        <v>-</v>
      </c>
      <c r="V105" s="30" t="str">
        <f>IF(AND($G$9=$B$48,$I$9=$M105),"hhh","-")</f>
        <v>-</v>
      </c>
      <c r="W105" s="30" t="str">
        <f>IF(AND($G$10=$B$48,$I$10=$M105),"hhh","-")</f>
        <v>-</v>
      </c>
      <c r="X105" s="30" t="str">
        <f>IF(AND($G$11=$B$48,$I$11=$M105),"hhh","-")</f>
        <v>-</v>
      </c>
      <c r="Y105" s="30" t="str">
        <f>IF(AND($G$12=$B$48,$I$12=$M105),"hhh","-")</f>
        <v>-</v>
      </c>
      <c r="Z105" s="30" t="str">
        <f>IF(AND($G$13=$B$48,$I$13=$M105),"hhh","-")</f>
        <v>-</v>
      </c>
      <c r="AA105" s="30" t="str">
        <f>IF(AND($G$14=$B$48,$I$14=$M105),"hhh","-")</f>
        <v>-</v>
      </c>
      <c r="AB105" s="30" t="str">
        <f>IF(AND($G$15=$B$48,$I$15=$M105),"hhh","-")</f>
        <v>-</v>
      </c>
      <c r="AC105" s="30" t="str">
        <f>IF(AND($G$16=$B$48,$I$16=$M105),"hhh","-")</f>
        <v>-</v>
      </c>
    </row>
    <row r="106" spans="1:30" ht="21.75" hidden="1" customHeight="1" x14ac:dyDescent="0.15">
      <c r="A106" s="30"/>
      <c r="B106" s="80"/>
      <c r="C106" s="78"/>
      <c r="D106" s="55"/>
      <c r="E106" s="55"/>
      <c r="F106" s="6"/>
      <c r="G106" s="6"/>
      <c r="H106" s="6"/>
      <c r="J106" s="30"/>
      <c r="K106" s="110" t="s">
        <v>223</v>
      </c>
      <c r="L106" s="66" t="s">
        <v>158</v>
      </c>
      <c r="M106" s="102" t="s">
        <v>293</v>
      </c>
      <c r="N106" s="49">
        <v>3.49</v>
      </c>
      <c r="O106" s="107">
        <v>0.3</v>
      </c>
      <c r="P106" s="107">
        <v>0.19</v>
      </c>
      <c r="Q106" s="107">
        <v>0.08</v>
      </c>
      <c r="R106" s="66"/>
      <c r="S106" s="66"/>
      <c r="T106" s="30" t="str">
        <f>IF(AND($G$7=$B$48,$I$7=$M106),"iii","-")</f>
        <v>-</v>
      </c>
      <c r="U106" s="30" t="str">
        <f>IF(AND($G$8=$B$48,$I$8=$M106),"iii","-")</f>
        <v>-</v>
      </c>
      <c r="V106" s="30" t="str">
        <f>IF(AND($G$9=$B$48,$I$9=$M106),"iii","-")</f>
        <v>-</v>
      </c>
      <c r="W106" s="30" t="str">
        <f>IF(AND($G$10=$B$48,$I$10=$M106),"iii","-")</f>
        <v>-</v>
      </c>
      <c r="X106" s="30" t="str">
        <f>IF(AND($G$11=$B$48,$I$11=$M106),"iii","-")</f>
        <v>-</v>
      </c>
      <c r="Y106" s="30" t="str">
        <f>IF(AND($G$12=$B$48,$I$12=$M106),"iii","-")</f>
        <v>-</v>
      </c>
      <c r="Z106" s="30" t="str">
        <f>IF(AND($G$13=$B$48,$I$13=$M106),"iii","-")</f>
        <v>-</v>
      </c>
      <c r="AA106" s="30" t="str">
        <f>IF(AND($G$14=$B$48,$I$14=$M106),"iii","-")</f>
        <v>-</v>
      </c>
      <c r="AB106" s="30" t="str">
        <f>IF(AND($G$15=$B$48,$I$15=$M106),"iii","-")</f>
        <v>-</v>
      </c>
      <c r="AC106" s="30" t="str">
        <f>IF(AND($G$16=$B$48,$I$16=$M106),"iii","-")</f>
        <v>-</v>
      </c>
    </row>
    <row r="107" spans="1:30" ht="21.75" hidden="1" customHeight="1" x14ac:dyDescent="0.15">
      <c r="A107" s="30"/>
      <c r="B107" s="80"/>
      <c r="C107" s="78"/>
      <c r="D107" s="55"/>
      <c r="E107" s="55"/>
      <c r="F107" s="6"/>
      <c r="G107" s="57"/>
      <c r="H107" s="57"/>
      <c r="J107" s="30"/>
      <c r="K107" s="110" t="s">
        <v>224</v>
      </c>
      <c r="L107" s="66" t="s">
        <v>158</v>
      </c>
      <c r="M107" s="102" t="s">
        <v>294</v>
      </c>
      <c r="N107" s="49">
        <v>3.49</v>
      </c>
      <c r="O107" s="107">
        <v>0.13</v>
      </c>
      <c r="P107" s="107">
        <v>0.1</v>
      </c>
      <c r="Q107" s="107">
        <v>0.05</v>
      </c>
      <c r="R107" s="66"/>
      <c r="S107" s="66"/>
      <c r="T107" s="30" t="str">
        <f>IF(AND($G$7=$B$48,$I$7=$M107),"jjj","-")</f>
        <v>-</v>
      </c>
      <c r="U107" s="30" t="str">
        <f>IF(AND($G$8=$B$48,$I$8=$M107),"jjj","-")</f>
        <v>-</v>
      </c>
      <c r="V107" s="30" t="str">
        <f>IF(AND($G$9=$B$48,$I$9=$M107),"jjj","-")</f>
        <v>-</v>
      </c>
      <c r="W107" s="30" t="str">
        <f>IF(AND($G$10=$B$48,$I$10=$M107),"jjj","-")</f>
        <v>-</v>
      </c>
      <c r="X107" s="30" t="str">
        <f>IF(AND($G$11=$B$48,$I$11=$M107),"jjj","-")</f>
        <v>-</v>
      </c>
      <c r="Y107" s="30" t="str">
        <f>IF(AND($G$12=$B$48,$I$12=$M107),"jjj","-")</f>
        <v>-</v>
      </c>
      <c r="Z107" s="30" t="str">
        <f>IF(AND($G$13=$B$48,$I$13=$M107),"jjj","-")</f>
        <v>-</v>
      </c>
      <c r="AA107" s="30" t="str">
        <f>IF(AND($G$14=$B$48,$I$14=$M107),"jjj","-")</f>
        <v>-</v>
      </c>
      <c r="AB107" s="30" t="str">
        <f>IF(AND($G$15=$B$48,$I$15=$M107),"jjj","-")</f>
        <v>-</v>
      </c>
      <c r="AC107" s="30" t="str">
        <f>IF(AND($G$16=$B$48,$I$16=$M107),"jjj","-")</f>
        <v>-</v>
      </c>
    </row>
    <row r="108" spans="1:30" ht="21.75" hidden="1" customHeight="1" x14ac:dyDescent="0.15">
      <c r="B108" s="80"/>
      <c r="C108" s="78"/>
      <c r="D108" s="55"/>
      <c r="E108" s="55"/>
      <c r="F108" s="6"/>
      <c r="G108" s="57"/>
      <c r="H108" s="57"/>
      <c r="J108" s="30"/>
      <c r="K108" s="110" t="s">
        <v>225</v>
      </c>
      <c r="L108" s="66" t="s">
        <v>158</v>
      </c>
      <c r="M108" s="102" t="s">
        <v>295</v>
      </c>
      <c r="N108" s="49">
        <v>3.49</v>
      </c>
      <c r="O108" s="107">
        <v>0.42</v>
      </c>
      <c r="P108" s="107">
        <v>0.22</v>
      </c>
      <c r="Q108" s="107">
        <v>0.1</v>
      </c>
      <c r="R108" s="66"/>
      <c r="S108" s="66"/>
      <c r="T108" s="30" t="str">
        <f>IF(AND($G$7=$B$48,$I$7=$M108),"kkk","-")</f>
        <v>-</v>
      </c>
      <c r="U108" s="30" t="str">
        <f>IF(AND($G$8=$B$48,$I$8=$M108),"kkk","-")</f>
        <v>-</v>
      </c>
      <c r="V108" s="30" t="str">
        <f>IF(AND($G$9=$B$48,$I$9=$M108),"kkk","-")</f>
        <v>-</v>
      </c>
      <c r="W108" s="30" t="str">
        <f>IF(AND($G$10=$B$48,$I$10=$M108),"kkk","-")</f>
        <v>-</v>
      </c>
      <c r="X108" s="30" t="str">
        <f>IF(AND($G$11=$B$48,$I$11=$M108),"kkk","-")</f>
        <v>-</v>
      </c>
      <c r="Y108" s="30" t="str">
        <f>IF(AND($G$12=$B$48,$I$12=$M108),"kkk","-")</f>
        <v>-</v>
      </c>
      <c r="Z108" s="30" t="str">
        <f>IF(AND($G$13=$B$48,$I$13=$M108),"kkk","-")</f>
        <v>-</v>
      </c>
      <c r="AA108" s="30" t="str">
        <f>IF(AND($G$14=$B$48,$I$14=$M108),"kkk","-")</f>
        <v>-</v>
      </c>
      <c r="AB108" s="30" t="str">
        <f>IF(AND($G$15=$B$48,$I$15=$M108),"kkk","-")</f>
        <v>-</v>
      </c>
      <c r="AC108" s="30" t="str">
        <f>IF(AND($G$16=$B$48,$I$16=$M108),"kkk","-")</f>
        <v>-</v>
      </c>
    </row>
    <row r="109" spans="1:30" ht="21.75" hidden="1" customHeight="1" x14ac:dyDescent="0.15">
      <c r="A109" s="30"/>
      <c r="B109" s="80"/>
      <c r="C109" s="78"/>
      <c r="D109" s="55"/>
      <c r="E109" s="55"/>
      <c r="F109" s="6"/>
      <c r="G109" s="57"/>
      <c r="H109" s="57"/>
      <c r="J109" s="30"/>
      <c r="K109" s="110" t="s">
        <v>226</v>
      </c>
      <c r="L109" s="66" t="s">
        <v>158</v>
      </c>
      <c r="M109" s="102" t="s">
        <v>296</v>
      </c>
      <c r="N109" s="49">
        <v>3.49</v>
      </c>
      <c r="O109" s="107">
        <v>0.63</v>
      </c>
      <c r="P109" s="107">
        <v>0.3</v>
      </c>
      <c r="Q109" s="107">
        <v>0.14000000000000001</v>
      </c>
      <c r="R109" s="66"/>
      <c r="S109" s="66"/>
      <c r="T109" s="30" t="str">
        <f>IF(AND($G$7=$B$48,$I$7=$M109),"lll","-")</f>
        <v>-</v>
      </c>
      <c r="U109" s="30" t="str">
        <f>IF(AND($G$8=$B$48,$I$8=$M109),"lll","-")</f>
        <v>-</v>
      </c>
      <c r="V109" s="30" t="str">
        <f>IF(AND($G$9=$B$48,$I$9=$M109),"lll","-")</f>
        <v>-</v>
      </c>
      <c r="W109" s="30" t="str">
        <f>IF(AND($G$10=$B$48,$I$10=$M109),"lll","-")</f>
        <v>-</v>
      </c>
      <c r="X109" s="30" t="str">
        <f>IF(AND($G$11=$B$48,$I$11=$M109),"lll","-")</f>
        <v>-</v>
      </c>
      <c r="Y109" s="30" t="str">
        <f>IF(AND($G$12=$B$48,$I$12=$M109),"lll","-")</f>
        <v>-</v>
      </c>
      <c r="Z109" s="30" t="str">
        <f>IF(AND($G$13=$B$48,$I$13=$M109),"lll","-")</f>
        <v>-</v>
      </c>
      <c r="AA109" s="30" t="str">
        <f>IF(AND($G$14=$B$48,$I$14=$M109),"lll","-")</f>
        <v>-</v>
      </c>
      <c r="AB109" s="30" t="str">
        <f>IF(AND($G$15=$B$48,$I$15=$M109),"lll","-")</f>
        <v>-</v>
      </c>
      <c r="AC109" s="30" t="str">
        <f>IF(AND($G$16=$B$48,$I$16=$M109),"lll","-")</f>
        <v>-</v>
      </c>
    </row>
    <row r="110" spans="1:30" ht="21.75" hidden="1" customHeight="1" x14ac:dyDescent="0.15">
      <c r="A110" s="30"/>
      <c r="B110" s="80"/>
      <c r="C110" s="78"/>
      <c r="D110" s="55"/>
      <c r="E110" s="55"/>
      <c r="F110" s="6"/>
      <c r="G110" s="57"/>
      <c r="H110" s="57"/>
      <c r="J110" s="30"/>
      <c r="K110" s="110" t="s">
        <v>227</v>
      </c>
      <c r="L110" s="66" t="s">
        <v>158</v>
      </c>
      <c r="M110" s="102" t="s">
        <v>306</v>
      </c>
      <c r="N110" s="49">
        <v>4.07</v>
      </c>
      <c r="O110" s="107">
        <v>0.49</v>
      </c>
      <c r="P110" s="107">
        <v>0.26</v>
      </c>
      <c r="Q110" s="107">
        <v>0.11</v>
      </c>
      <c r="R110" s="66"/>
      <c r="S110" s="66"/>
      <c r="T110" s="30" t="str">
        <f>IF(AND($G$7=$B$48,$I$7=$M110),"mmm","-")</f>
        <v>-</v>
      </c>
      <c r="U110" s="30" t="str">
        <f>IF(AND($G$8=$B$48,$I$8=$M110),"mmm","-")</f>
        <v>-</v>
      </c>
      <c r="V110" s="30" t="str">
        <f>IF(AND($G$9=$B$48,$I$9=$M110),"mmm","-")</f>
        <v>-</v>
      </c>
      <c r="W110" s="30" t="str">
        <f>IF(AND($G$10=$B$48,$I$10=$M110),"mmm","-")</f>
        <v>-</v>
      </c>
      <c r="X110" s="30" t="str">
        <f>IF(AND($G$11=$B$48,$I$11=$M110),"mmm","-")</f>
        <v>-</v>
      </c>
      <c r="Y110" s="30" t="str">
        <f>IF(AND($G$12=$B$48,$I$12=$M110),"mmm","-")</f>
        <v>-</v>
      </c>
      <c r="Z110" s="30" t="str">
        <f>IF(AND($G$13=$B$48,$I$13=$M110),"mmm","-")</f>
        <v>-</v>
      </c>
      <c r="AA110" s="30" t="str">
        <f>IF(AND($G$14=$B$48,$I$14=$M110),"mmm","-")</f>
        <v>-</v>
      </c>
      <c r="AB110" s="30" t="str">
        <f>IF(AND($G$15=$B$48,$I$15=$M110),"mmm","-")</f>
        <v>-</v>
      </c>
      <c r="AC110" s="30" t="str">
        <f>IF(AND($G$16=$B$48,$I$16=$M110),"mmm","-")</f>
        <v>-</v>
      </c>
    </row>
    <row r="111" spans="1:30" ht="21.75" hidden="1" customHeight="1" x14ac:dyDescent="0.15">
      <c r="A111" s="30"/>
      <c r="B111" s="80"/>
      <c r="C111" s="78"/>
      <c r="D111" s="55"/>
      <c r="E111" s="55"/>
      <c r="F111" s="6"/>
      <c r="G111" s="57"/>
      <c r="H111" s="57"/>
      <c r="J111" s="30"/>
      <c r="K111" s="110" t="s">
        <v>228</v>
      </c>
      <c r="L111" s="66" t="s">
        <v>158</v>
      </c>
      <c r="M111" s="102" t="s">
        <v>307</v>
      </c>
      <c r="N111" s="49">
        <v>4.07</v>
      </c>
      <c r="O111" s="107">
        <v>0.3</v>
      </c>
      <c r="P111" s="107">
        <v>0.19</v>
      </c>
      <c r="Q111" s="107">
        <v>0.08</v>
      </c>
      <c r="R111" s="66"/>
      <c r="S111" s="66"/>
      <c r="T111" s="30" t="str">
        <f>IF(AND($G$7=$B$48,$I$7=$M111),"nnn","-")</f>
        <v>-</v>
      </c>
      <c r="U111" s="30" t="str">
        <f>IF(AND($G$8=$B$48,$I$8=$M111),"nnn","-")</f>
        <v>-</v>
      </c>
      <c r="V111" s="30" t="str">
        <f>IF(AND($G$9=$B$48,$I$9=$M111),"nnn","-")</f>
        <v>-</v>
      </c>
      <c r="W111" s="30" t="str">
        <f>IF(AND($G$10=$B$48,$I$10=$M111),"nnn","-")</f>
        <v>-</v>
      </c>
      <c r="X111" s="30" t="str">
        <f>IF(AND($G$11=$B$48,$I$11=$M111),"nnn","-")</f>
        <v>-</v>
      </c>
      <c r="Y111" s="30" t="str">
        <f>IF(AND($G$12=$B$48,$I$12=$M111),"nnn","-")</f>
        <v>-</v>
      </c>
      <c r="Z111" s="30" t="str">
        <f>IF(AND($G$13=$B$48,$I$13=$M111),"nnn","-")</f>
        <v>-</v>
      </c>
      <c r="AA111" s="30" t="str">
        <f>IF(AND($G$14=$B$48,$I$14=$M111),"nnn","-")</f>
        <v>-</v>
      </c>
      <c r="AB111" s="30" t="str">
        <f>IF(AND($G$15=$B$48,$I$15=$M111),"nnn","-")</f>
        <v>-</v>
      </c>
      <c r="AC111" s="30" t="str">
        <f>IF(AND($G$16=$B$48,$I$16=$M111),"nnn","-")</f>
        <v>-</v>
      </c>
    </row>
    <row r="112" spans="1:30" ht="21.75" hidden="1" customHeight="1" x14ac:dyDescent="0.15">
      <c r="A112" s="30"/>
      <c r="B112" s="80"/>
      <c r="C112" s="78"/>
      <c r="D112" s="55"/>
      <c r="E112" s="55"/>
      <c r="F112" s="6"/>
      <c r="G112" s="57"/>
      <c r="H112" s="57"/>
      <c r="J112" s="30"/>
      <c r="K112" s="110" t="s">
        <v>229</v>
      </c>
      <c r="L112" s="66" t="s">
        <v>158</v>
      </c>
      <c r="M112" s="102" t="s">
        <v>308</v>
      </c>
      <c r="N112" s="49">
        <v>4.07</v>
      </c>
      <c r="O112" s="107">
        <v>0.13</v>
      </c>
      <c r="P112" s="107">
        <v>0.1</v>
      </c>
      <c r="Q112" s="107">
        <v>0.05</v>
      </c>
      <c r="R112" s="66"/>
      <c r="S112" s="66"/>
      <c r="T112" s="30" t="str">
        <f>IF(AND($G$7=$B$48,$I$7=$M112),"ooo","-")</f>
        <v>-</v>
      </c>
      <c r="U112" s="30" t="str">
        <f>IF(AND($G$8=$B$48,$I$8=$M112),"ooo","-")</f>
        <v>-</v>
      </c>
      <c r="V112" s="30" t="str">
        <f>IF(AND($G$9=$B$48,$I$9=$M112),"ooo","-")</f>
        <v>-</v>
      </c>
      <c r="W112" s="30" t="str">
        <f>IF(AND($G$10=$B$48,$I$10=$M112),"ooo","-")</f>
        <v>-</v>
      </c>
      <c r="X112" s="30" t="str">
        <f>IF(AND($G$11=$B$48,$I$11=$M112),"ooo","-")</f>
        <v>-</v>
      </c>
      <c r="Y112" s="30" t="str">
        <f>IF(AND($G$12=$B$48,$I$12=$M112),"ooo","-")</f>
        <v>-</v>
      </c>
      <c r="Z112" s="30" t="str">
        <f>IF(AND($G$13=$B$48,$I$13=$M112),"ooo","-")</f>
        <v>-</v>
      </c>
      <c r="AA112" s="30" t="str">
        <f>IF(AND($G$14=$B$48,$I$14=$M112),"ooo","-")</f>
        <v>-</v>
      </c>
      <c r="AB112" s="30" t="str">
        <f>IF(AND($G$15=$B$48,$I$15=$M112),"ooo","-")</f>
        <v>-</v>
      </c>
      <c r="AC112" s="30" t="str">
        <f>IF(AND($G$16=$B$48,$I$16=$M112),"ooo","-")</f>
        <v>-</v>
      </c>
    </row>
    <row r="113" spans="1:29" ht="21.75" hidden="1" customHeight="1" x14ac:dyDescent="0.15">
      <c r="A113" s="30"/>
      <c r="B113" s="80"/>
      <c r="C113" s="78"/>
      <c r="D113" s="55"/>
      <c r="E113" s="55"/>
      <c r="F113" s="6"/>
      <c r="G113" s="57"/>
      <c r="H113" s="6"/>
      <c r="J113" s="30"/>
      <c r="K113" s="110" t="s">
        <v>230</v>
      </c>
      <c r="L113" s="66" t="s">
        <v>158</v>
      </c>
      <c r="M113" s="102" t="s">
        <v>309</v>
      </c>
      <c r="N113" s="49">
        <v>4.07</v>
      </c>
      <c r="O113" s="107">
        <v>0.42</v>
      </c>
      <c r="P113" s="107">
        <v>0.22</v>
      </c>
      <c r="Q113" s="107">
        <v>0.1</v>
      </c>
      <c r="R113" s="66"/>
      <c r="S113" s="66"/>
      <c r="T113" s="30" t="str">
        <f>IF(AND($G$7=$B$48,$I$7=$M113),"ppp","-")</f>
        <v>-</v>
      </c>
      <c r="U113" s="30" t="str">
        <f>IF(AND($G$8=$B$48,$I$8=$M113),"ppp","-")</f>
        <v>-</v>
      </c>
      <c r="V113" s="30" t="str">
        <f>IF(AND($G$9=$B$48,$I$9=$M113),"ppp","-")</f>
        <v>-</v>
      </c>
      <c r="W113" s="30" t="str">
        <f>IF(AND($G$10=$B$48,$I$10=$M113),"ppp","-")</f>
        <v>-</v>
      </c>
      <c r="X113" s="30" t="str">
        <f>IF(AND($G$11=$B$48,$I$11=$M113),"ppp","-")</f>
        <v>-</v>
      </c>
      <c r="Y113" s="30" t="str">
        <f>IF(AND($G$12=$B$48,$I$12=$M113),"ppp","-")</f>
        <v>-</v>
      </c>
      <c r="Z113" s="30" t="str">
        <f>IF(AND($G$13=$B$48,$I$13=$M113),"ppp","-")</f>
        <v>-</v>
      </c>
      <c r="AA113" s="30" t="str">
        <f>IF(AND($G$14=$B$48,$I$14=$M113),"ppp","-")</f>
        <v>-</v>
      </c>
      <c r="AB113" s="30" t="str">
        <f>IF(AND($G$15=$B$48,$I$15=$M113),"ppp","-")</f>
        <v>-</v>
      </c>
      <c r="AC113" s="30" t="str">
        <f>IF(AND($G$16=$B$48,$I$16=$M113),"ppp","-")</f>
        <v>-</v>
      </c>
    </row>
    <row r="114" spans="1:29" ht="21.75" hidden="1" customHeight="1" x14ac:dyDescent="0.15">
      <c r="A114" s="30"/>
      <c r="B114" s="80"/>
      <c r="C114" s="78"/>
      <c r="D114" s="2"/>
      <c r="E114" s="2"/>
      <c r="F114" s="2"/>
      <c r="G114" s="2"/>
      <c r="H114" s="2"/>
      <c r="J114" s="30"/>
      <c r="K114" s="110" t="s">
        <v>231</v>
      </c>
      <c r="L114" s="66" t="s">
        <v>158</v>
      </c>
      <c r="M114" s="102" t="s">
        <v>310</v>
      </c>
      <c r="N114" s="49">
        <v>4.07</v>
      </c>
      <c r="O114" s="107">
        <v>0.63</v>
      </c>
      <c r="P114" s="107">
        <v>0.3</v>
      </c>
      <c r="Q114" s="107">
        <v>0.14000000000000001</v>
      </c>
      <c r="R114" s="66"/>
      <c r="S114" s="66"/>
      <c r="T114" s="30" t="str">
        <f>IF(AND($G$7=$B$48,$I$7=$M114),"qqq","-")</f>
        <v>-</v>
      </c>
      <c r="U114" s="30" t="str">
        <f>IF(AND($G$8=$B$48,$I$8=$M114),"qqq","-")</f>
        <v>-</v>
      </c>
      <c r="V114" s="30" t="str">
        <f>IF(AND($G$9=$B$48,$I$9=$M114),"qqq","-")</f>
        <v>-</v>
      </c>
      <c r="W114" s="30" t="str">
        <f>IF(AND($G$10=$B$48,$I$10=$M114),"qqq","-")</f>
        <v>-</v>
      </c>
      <c r="X114" s="30" t="str">
        <f>IF(AND($G$11=$B$48,$I$11=$M114),"qqq","-")</f>
        <v>-</v>
      </c>
      <c r="Y114" s="30" t="str">
        <f>IF(AND($G$12=$B$48,$I$12=$M114),"qqq","-")</f>
        <v>-</v>
      </c>
      <c r="Z114" s="30" t="str">
        <f>IF(AND($G$13=$B$48,$I$13=$M114),"qqq","-")</f>
        <v>-</v>
      </c>
      <c r="AA114" s="30" t="str">
        <f>IF(AND($G$14=$B$48,$I$14=$M114),"qqq","-")</f>
        <v>-</v>
      </c>
      <c r="AB114" s="30" t="str">
        <f>IF(AND($G$15=$B$48,$I$15=$M114),"qqq","-")</f>
        <v>-</v>
      </c>
      <c r="AC114" s="30" t="str">
        <f>IF(AND($G$16=$B$48,$I$16=$M114),"qqq","-")</f>
        <v>-</v>
      </c>
    </row>
    <row r="115" spans="1:29" ht="21.75" hidden="1" customHeight="1" x14ac:dyDescent="0.15">
      <c r="A115" s="30"/>
      <c r="B115" s="80"/>
      <c r="C115" s="78"/>
      <c r="D115" s="2"/>
      <c r="E115" s="2"/>
      <c r="F115" s="2"/>
      <c r="G115" s="2"/>
      <c r="H115" s="2"/>
      <c r="J115" s="30"/>
      <c r="K115" s="110" t="s">
        <v>232</v>
      </c>
      <c r="L115" s="66" t="s">
        <v>159</v>
      </c>
      <c r="M115" s="103" t="s">
        <v>290</v>
      </c>
      <c r="N115" s="49">
        <v>3.49</v>
      </c>
      <c r="O115" s="107">
        <v>0.51</v>
      </c>
      <c r="P115" s="107">
        <v>0.3</v>
      </c>
      <c r="Q115" s="107">
        <v>0.12</v>
      </c>
      <c r="R115" s="66"/>
      <c r="S115" s="66"/>
      <c r="T115" s="30" t="str">
        <f>IF(AND($G$7=$B$49,$I$7=$M115),"rrr","-")</f>
        <v>-</v>
      </c>
      <c r="U115" s="30" t="str">
        <f>IF(AND($G$8=$B$49,$I$8=$M115),"rrr","-")</f>
        <v>-</v>
      </c>
      <c r="V115" s="30" t="str">
        <f>IF(AND($G$9=$B$49,$I$9=$M115),"rrr","-")</f>
        <v>-</v>
      </c>
      <c r="W115" s="30" t="str">
        <f>IF(AND($G$10=$B$49,$I$10=$M115),"rrr","-")</f>
        <v>-</v>
      </c>
      <c r="X115" s="30" t="str">
        <f>IF(AND($G$11=$B$49,$I$11=$M115),"rrr","-")</f>
        <v>-</v>
      </c>
      <c r="Y115" s="30" t="str">
        <f>IF(AND($G$12=$B$49,$I$12=$M115),"rrr","-")</f>
        <v>-</v>
      </c>
      <c r="Z115" s="30" t="str">
        <f>IF(AND($G$13=$B$49,$I$13=$M115),"rrr","-")</f>
        <v>-</v>
      </c>
      <c r="AA115" s="30" t="str">
        <f>IF(AND($G$14=$B$49,$I$14=$M115),"rrr","-")</f>
        <v>-</v>
      </c>
      <c r="AB115" s="30" t="str">
        <f>IF(AND($G$15=$B$49,$I$15=$M115),"rrr","-")</f>
        <v>-</v>
      </c>
      <c r="AC115" s="30" t="str">
        <f>IF(AND($G$16=$B$49,$I$16=$M115),"rrr","-")</f>
        <v>-</v>
      </c>
    </row>
    <row r="116" spans="1:29" ht="21.75" hidden="1" customHeight="1" x14ac:dyDescent="0.15">
      <c r="A116" s="30"/>
      <c r="B116" s="80"/>
      <c r="C116" s="78"/>
      <c r="D116" s="2"/>
      <c r="E116" s="2"/>
      <c r="F116" s="2"/>
      <c r="G116" s="2"/>
      <c r="H116" s="2"/>
      <c r="J116" s="30"/>
      <c r="K116" s="110" t="s">
        <v>233</v>
      </c>
      <c r="L116" s="66" t="s">
        <v>159</v>
      </c>
      <c r="M116" s="103" t="s">
        <v>291</v>
      </c>
      <c r="N116" s="49">
        <v>3.49</v>
      </c>
      <c r="O116" s="107">
        <v>0.32</v>
      </c>
      <c r="P116" s="107">
        <v>0.21</v>
      </c>
      <c r="Q116" s="107">
        <v>0.09</v>
      </c>
      <c r="R116" s="66"/>
      <c r="S116" s="66"/>
      <c r="T116" s="30" t="str">
        <f>IF(AND($G$7=$B$49,$I$7=$M116),"sss","-")</f>
        <v>-</v>
      </c>
      <c r="U116" s="30" t="str">
        <f>IF(AND($G$8=$B$49,$I$8=$M116),"sss","-")</f>
        <v>-</v>
      </c>
      <c r="V116" s="30" t="str">
        <f>IF(AND($G$9=$B$49,$I$9=$M116),"sss","-")</f>
        <v>-</v>
      </c>
      <c r="W116" s="30" t="str">
        <f>IF(AND($G$10=$B$49,$I$10=$M116),"sss","-")</f>
        <v>-</v>
      </c>
      <c r="X116" s="30" t="str">
        <f>IF(AND($G$11=$B$49,$I$11=$M116),"sss","-")</f>
        <v>-</v>
      </c>
      <c r="Y116" s="30" t="str">
        <f>IF(AND($G$12=$B$49,$I$12=$M116),"sss","-")</f>
        <v>-</v>
      </c>
      <c r="Z116" s="30" t="str">
        <f>IF(AND($G$13=$B$49,$I$13=$M116),"sss","-")</f>
        <v>-</v>
      </c>
      <c r="AA116" s="30" t="str">
        <f>IF(AND($G$14=$B$49,$I$14=$M116),"sss","-")</f>
        <v>-</v>
      </c>
      <c r="AB116" s="30" t="str">
        <f>IF(AND($G$15=$B$49,$I$15=$M116),"sss","-")</f>
        <v>-</v>
      </c>
      <c r="AC116" s="30" t="str">
        <f>IF(AND($G$16=$B$49,$I$16=$M116),"sss","-")</f>
        <v>-</v>
      </c>
    </row>
    <row r="117" spans="1:29" ht="21.75" hidden="1" customHeight="1" x14ac:dyDescent="0.15">
      <c r="B117" s="80"/>
      <c r="C117" s="78"/>
      <c r="D117" s="2"/>
      <c r="E117" s="2"/>
      <c r="F117" s="2"/>
      <c r="G117" s="2"/>
      <c r="H117" s="2"/>
      <c r="J117" s="30"/>
      <c r="K117" s="110" t="s">
        <v>234</v>
      </c>
      <c r="L117" s="66" t="s">
        <v>159</v>
      </c>
      <c r="M117" s="103" t="s">
        <v>299</v>
      </c>
      <c r="N117" s="49">
        <v>3.49</v>
      </c>
      <c r="O117" s="107">
        <v>0.51</v>
      </c>
      <c r="P117" s="107">
        <v>0.3</v>
      </c>
      <c r="Q117" s="107">
        <v>0.12</v>
      </c>
      <c r="R117" s="66"/>
      <c r="S117" s="66"/>
      <c r="T117" s="30" t="str">
        <f>IF(AND($G$7=$B$49,$I$7=$M117),"ttt","-")</f>
        <v>-</v>
      </c>
      <c r="U117" s="30" t="str">
        <f>IF(AND($G$8=$B$49,$I$8=$M117),"ttt","-")</f>
        <v>-</v>
      </c>
      <c r="V117" s="30" t="str">
        <f>IF(AND($G$9=$B$49,$I$9=$M117),"ttt","-")</f>
        <v>-</v>
      </c>
      <c r="W117" s="30" t="str">
        <f>IF(AND($G$10=$B$49,$I$10=$M117),"ttt","-")</f>
        <v>-</v>
      </c>
      <c r="X117" s="30" t="str">
        <f>IF(AND($G$11=$B$49,$I$11=$M117),"ttt","-")</f>
        <v>-</v>
      </c>
      <c r="Y117" s="30" t="str">
        <f>IF(AND($G$12=$B$49,$I$12=$M117),"ttt","-")</f>
        <v>-</v>
      </c>
      <c r="Z117" s="30" t="str">
        <f>IF(AND($G$13=$B$49,$I$13=$M117),"ttt","-")</f>
        <v>-</v>
      </c>
      <c r="AA117" s="30" t="str">
        <f>IF(AND($G$14=$B$49,$I$14=$M117),"ttt","-")</f>
        <v>-</v>
      </c>
      <c r="AB117" s="30" t="str">
        <f>IF(AND($G$15=$B$49,$I$15=$M117),"ttt","-")</f>
        <v>-</v>
      </c>
      <c r="AC117" s="30" t="str">
        <f>IF(AND($G$16=$B$49,$I$16=$M117),"ttt","-")</f>
        <v>-</v>
      </c>
    </row>
    <row r="118" spans="1:29" ht="21.75" hidden="1" customHeight="1" x14ac:dyDescent="0.15">
      <c r="B118" s="80"/>
      <c r="C118" s="78"/>
      <c r="D118" s="2"/>
      <c r="E118" s="2"/>
      <c r="F118" s="2"/>
      <c r="G118" s="2"/>
      <c r="H118" s="2"/>
      <c r="J118" s="30"/>
      <c r="K118" s="110" t="s">
        <v>235</v>
      </c>
      <c r="L118" s="66" t="s">
        <v>159</v>
      </c>
      <c r="M118" s="103" t="s">
        <v>300</v>
      </c>
      <c r="N118" s="49">
        <v>3.49</v>
      </c>
      <c r="O118" s="107">
        <v>0.32</v>
      </c>
      <c r="P118" s="107">
        <v>0.21</v>
      </c>
      <c r="Q118" s="107">
        <v>0.09</v>
      </c>
      <c r="R118" s="66"/>
      <c r="S118" s="66"/>
      <c r="T118" s="30" t="str">
        <f>IF(AND($G$7=$B$49,$I$7=$M118),"uuu","-")</f>
        <v>-</v>
      </c>
      <c r="U118" s="30" t="str">
        <f>IF(AND($G$8=$B$49,$I$8=$M118),"uuu","-")</f>
        <v>-</v>
      </c>
      <c r="V118" s="30" t="str">
        <f>IF(AND($G$9=$B$49,$I$9=$M118),"uuu","-")</f>
        <v>-</v>
      </c>
      <c r="W118" s="30" t="str">
        <f>IF(AND($G$10=$B$49,$I$10=$M118),"uuu","-")</f>
        <v>-</v>
      </c>
      <c r="X118" s="30" t="str">
        <f>IF(AND($G$11=$B$49,$I$11=$M118),"uuu","-")</f>
        <v>-</v>
      </c>
      <c r="Y118" s="30" t="str">
        <f>IF(AND($G$12=$B$49,$I$12=$M118),"uuu","-")</f>
        <v>-</v>
      </c>
      <c r="Z118" s="30" t="str">
        <f>IF(AND($G$13=$B$49,$I$13=$M118),"uuu","-")</f>
        <v>-</v>
      </c>
      <c r="AA118" s="30" t="str">
        <f>IF(AND($G$14=$B$49,$I$14=$M118),"uuu","-")</f>
        <v>-</v>
      </c>
      <c r="AB118" s="30" t="str">
        <f>IF(AND($G$15=$B$49,$I$15=$M118),"uuu","-")</f>
        <v>-</v>
      </c>
      <c r="AC118" s="30" t="str">
        <f>IF(AND($G$16=$B$49,$I$16=$M118),"uuu","-")</f>
        <v>-</v>
      </c>
    </row>
    <row r="119" spans="1:29" ht="21.75" hidden="1" customHeight="1" x14ac:dyDescent="0.15">
      <c r="B119" s="80"/>
      <c r="C119" s="78"/>
      <c r="D119" s="2"/>
      <c r="E119" s="2"/>
      <c r="F119" s="2"/>
      <c r="G119" s="2"/>
      <c r="H119" s="2"/>
      <c r="J119" s="30"/>
      <c r="K119" s="110" t="s">
        <v>236</v>
      </c>
      <c r="L119" s="66" t="s">
        <v>159</v>
      </c>
      <c r="M119" s="103" t="s">
        <v>304</v>
      </c>
      <c r="N119" s="49">
        <v>4.07</v>
      </c>
      <c r="O119" s="107">
        <v>0.51</v>
      </c>
      <c r="P119" s="107">
        <v>0.3</v>
      </c>
      <c r="Q119" s="107">
        <v>0.12</v>
      </c>
      <c r="R119" s="66"/>
      <c r="S119" s="66"/>
      <c r="T119" s="30" t="str">
        <f>IF(AND($G$7=$B$49,$I$7=$M119),"vvv","-")</f>
        <v>-</v>
      </c>
      <c r="U119" s="30" t="str">
        <f>IF(AND($G$8=$B$49,$I$8=$M119),"vvv","-")</f>
        <v>-</v>
      </c>
      <c r="V119" s="30" t="str">
        <f>IF(AND($G$9=$B$49,$I$9=$M119),"vvv","-")</f>
        <v>-</v>
      </c>
      <c r="W119" s="30" t="str">
        <f>IF(AND($G$10=$B$49,$I$10=$M119),"vvv","-")</f>
        <v>-</v>
      </c>
      <c r="X119" s="30" t="str">
        <f>IF(AND($G$11=$B$49,$I$11=$M119),"vvv","-")</f>
        <v>-</v>
      </c>
      <c r="Y119" s="30" t="str">
        <f>IF(AND($G$12=$B$49,$I$12=$M119),"vvv","-")</f>
        <v>-</v>
      </c>
      <c r="Z119" s="30" t="str">
        <f>IF(AND($G$13=$B$49,$I$13=$M119),"vvv","-")</f>
        <v>-</v>
      </c>
      <c r="AA119" s="30" t="str">
        <f>IF(AND($G$14=$B$49,$I$14=$M119),"vvv","-")</f>
        <v>-</v>
      </c>
      <c r="AB119" s="30" t="str">
        <f>IF(AND($G$15=$B$49,$I$15=$M119),"vvv","-")</f>
        <v>-</v>
      </c>
      <c r="AC119" s="30" t="str">
        <f>IF(AND($G$16=$B$49,$I$16=$M119),"vvv","-")</f>
        <v>-</v>
      </c>
    </row>
    <row r="120" spans="1:29" ht="21.75" hidden="1" customHeight="1" x14ac:dyDescent="0.15">
      <c r="B120" s="82"/>
      <c r="C120" s="77"/>
      <c r="H120" s="2"/>
      <c r="J120" s="30"/>
      <c r="K120" s="110" t="s">
        <v>210</v>
      </c>
      <c r="L120" s="66" t="s">
        <v>159</v>
      </c>
      <c r="M120" s="103" t="s">
        <v>305</v>
      </c>
      <c r="N120" s="49">
        <v>4.07</v>
      </c>
      <c r="O120" s="107">
        <v>0.32</v>
      </c>
      <c r="P120" s="107">
        <v>0.21</v>
      </c>
      <c r="Q120" s="107">
        <v>0.09</v>
      </c>
      <c r="R120" s="66"/>
      <c r="S120" s="66"/>
      <c r="T120" s="30" t="str">
        <f>IF(AND($G$7=$B$49,$I$7=$M120),"www","-")</f>
        <v>-</v>
      </c>
      <c r="U120" s="30" t="str">
        <f>IF(AND($G$8=$B$49,$I$8=$M120),"www","-")</f>
        <v>-</v>
      </c>
      <c r="V120" s="30" t="str">
        <f>IF(AND($G$9=$B$49,$I$9=$M120),"www","-")</f>
        <v>-</v>
      </c>
      <c r="W120" s="30" t="str">
        <f>IF(AND($G$10=$B$49,$I$10=$M120),"www","-")</f>
        <v>-</v>
      </c>
      <c r="X120" s="30" t="str">
        <f>IF(AND($G$11=$B$49,$I$11=$M120),"www","-")</f>
        <v>-</v>
      </c>
      <c r="Y120" s="30" t="str">
        <f>IF(AND($G$12=$B$49,$I$12=$M120),"www","-")</f>
        <v>-</v>
      </c>
      <c r="Z120" s="30" t="str">
        <f>IF(AND($G$13=$B$49,$I$13=$M120),"www","-")</f>
        <v>-</v>
      </c>
      <c r="AA120" s="30" t="str">
        <f>IF(AND($G$14=$B$49,$I$14=$M120),"www","-")</f>
        <v>-</v>
      </c>
      <c r="AB120" s="30" t="str">
        <f>IF(AND($G$15=$B$49,$I$15=$M120),"www","-")</f>
        <v>-</v>
      </c>
      <c r="AC120" s="30" t="str">
        <f>IF(AND($G$16=$B$49,$I$16=$M120),"www","-")</f>
        <v>-</v>
      </c>
    </row>
    <row r="121" spans="1:29" ht="21.75" hidden="1" customHeight="1" x14ac:dyDescent="0.15">
      <c r="B121" s="82"/>
      <c r="C121" s="77"/>
      <c r="H121" s="3"/>
      <c r="J121" s="30"/>
      <c r="K121" s="110" t="s">
        <v>237</v>
      </c>
      <c r="L121" s="66" t="s">
        <v>159</v>
      </c>
      <c r="M121" s="103" t="s">
        <v>785</v>
      </c>
      <c r="N121" s="49">
        <v>4.07</v>
      </c>
      <c r="O121" s="107">
        <v>0.51</v>
      </c>
      <c r="P121" s="107">
        <v>0.3</v>
      </c>
      <c r="Q121" s="107">
        <v>0.12</v>
      </c>
      <c r="R121" s="66"/>
      <c r="S121" s="66"/>
      <c r="T121" s="30" t="str">
        <f>IF(AND($G$7=$B$49,$I$7=$M121),"xxx","-")</f>
        <v>-</v>
      </c>
      <c r="U121" s="30" t="str">
        <f>IF(AND($G$8=$B$49,$I$8=$M121),"xxx","-")</f>
        <v>-</v>
      </c>
      <c r="V121" s="30" t="str">
        <f>IF(AND($G$9=$B$49,$I$9=$M121),"xxx","-")</f>
        <v>-</v>
      </c>
      <c r="W121" s="30" t="str">
        <f>IF(AND($G$10=$B$49,$I$10=$M121),"xxx","-")</f>
        <v>-</v>
      </c>
      <c r="X121" s="30" t="str">
        <f>IF(AND($G$11=$B$49,$I$11=$M121),"xxx","-")</f>
        <v>-</v>
      </c>
      <c r="Y121" s="30" t="str">
        <f>IF(AND($G$12=$B$49,$I$12=$M121),"xxx","-")</f>
        <v>-</v>
      </c>
      <c r="Z121" s="30" t="str">
        <f>IF(AND($G$13=$B$49,$I$13=$M121),"xxx","-")</f>
        <v>-</v>
      </c>
      <c r="AA121" s="30" t="str">
        <f>IF(AND($G$14=$B$49,$I$14=$M121),"xxx","-")</f>
        <v>-</v>
      </c>
      <c r="AB121" s="30" t="str">
        <f>IF(AND($G$15=$B$49,$I$15=$M121),"xxx","-")</f>
        <v>-</v>
      </c>
      <c r="AC121" s="30" t="str">
        <f>IF(AND($G$16=$B$49,$I$16=$M121),"xxx","-")</f>
        <v>-</v>
      </c>
    </row>
    <row r="122" spans="1:29" ht="21.75" hidden="1" customHeight="1" x14ac:dyDescent="0.15">
      <c r="A122" s="3"/>
      <c r="B122" s="82"/>
      <c r="C122" s="77"/>
      <c r="D122" s="3"/>
      <c r="E122" s="3"/>
      <c r="F122" s="3"/>
      <c r="G122" s="3"/>
      <c r="H122" s="3"/>
      <c r="J122" s="30"/>
      <c r="K122" s="110" t="s">
        <v>238</v>
      </c>
      <c r="L122" s="66" t="s">
        <v>159</v>
      </c>
      <c r="M122" s="103" t="s">
        <v>786</v>
      </c>
      <c r="N122" s="49">
        <v>4.07</v>
      </c>
      <c r="O122" s="107">
        <v>0.32</v>
      </c>
      <c r="P122" s="107">
        <v>0.21</v>
      </c>
      <c r="Q122" s="107">
        <v>0.09</v>
      </c>
      <c r="R122" s="66"/>
      <c r="S122" s="66"/>
      <c r="T122" s="30" t="str">
        <f>IF(AND($G$7=$B$49,$I$7=$M122),"yyy","-")</f>
        <v>-</v>
      </c>
      <c r="U122" s="30" t="str">
        <f>IF(AND($G$8=$B$49,$I$8=$M122),"yyy","-")</f>
        <v>-</v>
      </c>
      <c r="V122" s="30" t="str">
        <f>IF(AND($G$9=$B$49,$I$9=$M122),"yyy","-")</f>
        <v>-</v>
      </c>
      <c r="W122" s="30" t="str">
        <f>IF(AND($G$10=$B$49,$I$10=$M122),"yyy","-")</f>
        <v>-</v>
      </c>
      <c r="X122" s="30" t="str">
        <f>IF(AND($G$11=$B$49,$I$11=$M122),"yyy","-")</f>
        <v>-</v>
      </c>
      <c r="Y122" s="30" t="str">
        <f>IF(AND($G$12=$B$49,$I$12=$M122),"yyy","-")</f>
        <v>-</v>
      </c>
      <c r="Z122" s="30" t="str">
        <f>IF(AND($G$13=$B$49,$I$13=$M122),"yyy","-")</f>
        <v>-</v>
      </c>
      <c r="AA122" s="30" t="str">
        <f>IF(AND($G$14=$B$49,$I$14=$M122),"yyy","-")</f>
        <v>-</v>
      </c>
      <c r="AB122" s="30" t="str">
        <f>IF(AND($G$15=$B$49,$I$15=$M122),"yyy","-")</f>
        <v>-</v>
      </c>
      <c r="AC122" s="30" t="str">
        <f>IF(AND($G$16=$B$49,$I$16=$M122),"yyy","-")</f>
        <v>-</v>
      </c>
    </row>
    <row r="123" spans="1:29" ht="21.75" hidden="1" customHeight="1" x14ac:dyDescent="0.15">
      <c r="B123" s="82"/>
      <c r="C123" s="77"/>
      <c r="J123" s="30"/>
      <c r="K123" s="110" t="s">
        <v>239</v>
      </c>
      <c r="L123" s="66" t="s">
        <v>159</v>
      </c>
      <c r="M123" s="103" t="s">
        <v>292</v>
      </c>
      <c r="N123" s="49">
        <v>4.07</v>
      </c>
      <c r="O123" s="107">
        <v>0.49</v>
      </c>
      <c r="P123" s="107">
        <v>0.26</v>
      </c>
      <c r="Q123" s="107">
        <v>0.11</v>
      </c>
      <c r="R123" s="66"/>
      <c r="S123" s="66"/>
      <c r="T123" s="30" t="str">
        <f>IF(AND($G$7=$B$49,$I$7=$M123),"zzz","-")</f>
        <v>-</v>
      </c>
      <c r="U123" s="30" t="str">
        <f>IF(AND($G$8=$B$49,$I$8=$M123),"zzz","-")</f>
        <v>-</v>
      </c>
      <c r="V123" s="30" t="str">
        <f>IF(AND($G$9=$B$49,$I$9=$M123),"zzz","-")</f>
        <v>-</v>
      </c>
      <c r="W123" s="30" t="str">
        <f>IF(AND($G$10=$B$49,$I$10=$M123),"zzz","-")</f>
        <v>-</v>
      </c>
      <c r="X123" s="30" t="str">
        <f>IF(AND($G$11=$B$49,$I$11=$M123),"zzz","-")</f>
        <v>-</v>
      </c>
      <c r="Y123" s="30" t="str">
        <f>IF(AND($G$12=$B$49,$I$12=$M123),"zzz","-")</f>
        <v>-</v>
      </c>
      <c r="Z123" s="30" t="str">
        <f>IF(AND($G$13=$B$49,$I$13=$M123),"zzz","-")</f>
        <v>-</v>
      </c>
      <c r="AA123" s="30" t="str">
        <f>IF(AND($G$14=$B$49,$I$14=$M123),"zzz","-")</f>
        <v>-</v>
      </c>
      <c r="AB123" s="30" t="str">
        <f>IF(AND($G$15=$B$49,$I$15=$M123),"zzz","-")</f>
        <v>-</v>
      </c>
      <c r="AC123" s="30" t="str">
        <f>IF(AND($G$16=$B$49,$I$16=$M123),"zzz","-")</f>
        <v>-</v>
      </c>
    </row>
    <row r="124" spans="1:29" ht="21.75" hidden="1" customHeight="1" x14ac:dyDescent="0.15">
      <c r="B124" s="82"/>
      <c r="C124" s="77"/>
      <c r="J124" s="30"/>
      <c r="K124" s="110" t="s">
        <v>240</v>
      </c>
      <c r="L124" s="66" t="s">
        <v>159</v>
      </c>
      <c r="M124" s="103" t="s">
        <v>293</v>
      </c>
      <c r="N124" s="49">
        <v>4.07</v>
      </c>
      <c r="O124" s="107">
        <v>0.3</v>
      </c>
      <c r="P124" s="107">
        <v>0.19</v>
      </c>
      <c r="Q124" s="107">
        <v>0.08</v>
      </c>
      <c r="R124" s="66"/>
      <c r="S124" s="66"/>
      <c r="T124" s="30" t="str">
        <f>IF(AND($G$7=$B$49,$I$7=$M124),"aaaa","-")</f>
        <v>-</v>
      </c>
      <c r="U124" s="30" t="str">
        <f>IF(AND($G$8=$B$49,$I$8=$M124),"aaaa","-")</f>
        <v>-</v>
      </c>
      <c r="V124" s="30" t="str">
        <f>IF(AND($G$9=$B$49,$I$9=$M124),"aaaa","-")</f>
        <v>-</v>
      </c>
      <c r="W124" s="30" t="str">
        <f>IF(AND($G$10=$B$49,$I$10=$M124),"aaaa","-")</f>
        <v>-</v>
      </c>
      <c r="X124" s="30" t="str">
        <f>IF(AND($G$11=$B$49,$I$11=$M124),"aaaa","-")</f>
        <v>-</v>
      </c>
      <c r="Y124" s="30" t="str">
        <f>IF(AND($G$12=$B$49,$I$12=$M124),"aaaa","-")</f>
        <v>-</v>
      </c>
      <c r="Z124" s="30" t="str">
        <f>IF(AND($G$13=$B$49,$I$13=$M124),"aaaa","-")</f>
        <v>-</v>
      </c>
      <c r="AA124" s="30" t="str">
        <f>IF(AND($G$14=$B$49,$I$14=$M124),"aaaa","-")</f>
        <v>-</v>
      </c>
      <c r="AB124" s="30" t="str">
        <f>IF(AND($G$15=$B$49,$I$15=$M124),"aaaa","-")</f>
        <v>-</v>
      </c>
      <c r="AC124" s="30" t="str">
        <f>IF(AND($G$16=$B$49,$I$16=$M124),"aaaa","-")</f>
        <v>-</v>
      </c>
    </row>
    <row r="125" spans="1:29" ht="21.75" hidden="1" customHeight="1" x14ac:dyDescent="0.15">
      <c r="B125" s="82"/>
      <c r="C125" s="77"/>
      <c r="K125" s="110" t="s">
        <v>241</v>
      </c>
      <c r="L125" s="66" t="s">
        <v>159</v>
      </c>
      <c r="M125" s="103" t="s">
        <v>294</v>
      </c>
      <c r="N125" s="49">
        <v>4.07</v>
      </c>
      <c r="O125" s="107">
        <v>0.13</v>
      </c>
      <c r="P125" s="107">
        <v>0.1</v>
      </c>
      <c r="Q125" s="107">
        <v>0.05</v>
      </c>
      <c r="R125" s="66"/>
      <c r="S125" s="66"/>
      <c r="T125" s="30" t="str">
        <f>IF(AND($G$7=$B$49,$I$7=$M125),"bbbb","-")</f>
        <v>-</v>
      </c>
      <c r="U125" s="30" t="str">
        <f>IF(AND($G$8=$B$49,$I$8=$M125),"bbbb","-")</f>
        <v>-</v>
      </c>
      <c r="V125" s="30" t="str">
        <f>IF(AND($G$9=$B$49,$I$9=$M125),"bbbb","-")</f>
        <v>-</v>
      </c>
      <c r="W125" s="30" t="str">
        <f>IF(AND($G$10=$B$49,$I$10=$M125),"bbbb","-")</f>
        <v>-</v>
      </c>
      <c r="X125" s="30" t="str">
        <f>IF(AND($G$11=$B$49,$I$11=$M125),"bbbb","-")</f>
        <v>-</v>
      </c>
      <c r="Y125" s="30" t="str">
        <f>IF(AND($G$12=$B$49,$I$12=$M125),"bbbb","-")</f>
        <v>-</v>
      </c>
      <c r="Z125" s="30" t="str">
        <f>IF(AND($G$13=$B$49,$I$13=$M125),"bbbb","-")</f>
        <v>-</v>
      </c>
      <c r="AA125" s="30" t="str">
        <f>IF(AND($G$14=$B$49,$I$14=$M125),"bbbb","-")</f>
        <v>-</v>
      </c>
      <c r="AB125" s="30" t="str">
        <f>IF(AND($G$15=$B$49,$I$15=$M125),"bbbb","-")</f>
        <v>-</v>
      </c>
      <c r="AC125" s="30" t="str">
        <f>IF(AND($G$16=$B$49,$I$16=$M125),"bbbb","-")</f>
        <v>-</v>
      </c>
    </row>
    <row r="126" spans="1:29" ht="21.75" hidden="1" customHeight="1" x14ac:dyDescent="0.15">
      <c r="B126" s="82"/>
      <c r="C126" s="77"/>
      <c r="K126" s="110" t="s">
        <v>242</v>
      </c>
      <c r="L126" s="66" t="s">
        <v>159</v>
      </c>
      <c r="M126" s="103" t="s">
        <v>295</v>
      </c>
      <c r="N126" s="49">
        <v>4.07</v>
      </c>
      <c r="O126" s="107">
        <v>0.42</v>
      </c>
      <c r="P126" s="107">
        <v>0.22</v>
      </c>
      <c r="Q126" s="107">
        <v>0.1</v>
      </c>
      <c r="R126" s="66"/>
      <c r="S126" s="66"/>
      <c r="T126" s="30" t="str">
        <f>IF(AND($G$7=$B$49,$I$7=$M126),"cccc","-")</f>
        <v>-</v>
      </c>
      <c r="U126" s="30" t="str">
        <f>IF(AND($G$8=$B$49,$I$8=$M126),"cccc","-")</f>
        <v>-</v>
      </c>
      <c r="V126" s="30" t="str">
        <f>IF(AND($G$9=$B$49,$I$9=$M126),"cccc","-")</f>
        <v>-</v>
      </c>
      <c r="W126" s="30" t="str">
        <f>IF(AND($G$10=$B$49,$I$10=$M126),"cccc","-")</f>
        <v>-</v>
      </c>
      <c r="X126" s="30" t="str">
        <f>IF(AND($G$11=$B$49,$I$11=$M126),"cccc","-")</f>
        <v>-</v>
      </c>
      <c r="Y126" s="30" t="str">
        <f>IF(AND($G$12=$B$49,$I$12=$M126),"cccc","-")</f>
        <v>-</v>
      </c>
      <c r="Z126" s="30" t="str">
        <f>IF(AND($G$13=$B$49,$I$13=$M126),"cccc","-")</f>
        <v>-</v>
      </c>
      <c r="AA126" s="30" t="str">
        <f>IF(AND($G$14=$B$49,$I$14=$M126),"cccc","-")</f>
        <v>-</v>
      </c>
      <c r="AB126" s="30" t="str">
        <f>IF(AND($G$15=$B$49,$I$15=$M126),"cccc","-")</f>
        <v>-</v>
      </c>
      <c r="AC126" s="30" t="str">
        <f>IF(AND($G$16=$B$49,$I$16=$M126),"cccc","-")</f>
        <v>-</v>
      </c>
    </row>
    <row r="127" spans="1:29" ht="21.75" hidden="1" customHeight="1" x14ac:dyDescent="0.15">
      <c r="B127" s="82"/>
      <c r="C127" s="77"/>
      <c r="K127" s="110" t="s">
        <v>243</v>
      </c>
      <c r="L127" s="66" t="s">
        <v>159</v>
      </c>
      <c r="M127" s="103" t="s">
        <v>296</v>
      </c>
      <c r="N127" s="49">
        <v>4.07</v>
      </c>
      <c r="O127" s="107">
        <v>0.63</v>
      </c>
      <c r="P127" s="107">
        <v>0.3</v>
      </c>
      <c r="Q127" s="107">
        <v>0.14000000000000001</v>
      </c>
      <c r="T127" s="30" t="str">
        <f>IF(AND($G$7=$B$49,$I$7=$M127),"dddd","-")</f>
        <v>-</v>
      </c>
      <c r="U127" s="30" t="str">
        <f>IF(AND($G$8=$B$49,$I$8=$M127),"dddd","-")</f>
        <v>-</v>
      </c>
      <c r="V127" s="30" t="str">
        <f>IF(AND($G$9=$B$49,$I$9=$M127),"dddd","-")</f>
        <v>-</v>
      </c>
      <c r="W127" s="30" t="str">
        <f>IF(AND($G$10=$B$49,$I$10=$M127),"dddd","-")</f>
        <v>-</v>
      </c>
      <c r="X127" s="30" t="str">
        <f>IF(AND($G$11=$B$49,$I$11=$M127),"dddd","-")</f>
        <v>-</v>
      </c>
      <c r="Y127" s="30" t="str">
        <f>IF(AND($G$12=$B$49,$I$12=$M127),"dddd","-")</f>
        <v>-</v>
      </c>
      <c r="Z127" s="30" t="str">
        <f>IF(AND($G$13=$B$49,$I$13=$M127),"dddd","-")</f>
        <v>-</v>
      </c>
      <c r="AA127" s="30" t="str">
        <f>IF(AND($G$14=$B$49,$I$14=$M127),"dddd","-")</f>
        <v>-</v>
      </c>
      <c r="AB127" s="30" t="str">
        <f>IF(AND($G$15=$B$49,$I$15=$M127),"dddd","-")</f>
        <v>-</v>
      </c>
      <c r="AC127" s="30" t="str">
        <f>IF(AND($G$16=$B$49,$I$16=$M127),"dddd","-")</f>
        <v>-</v>
      </c>
    </row>
    <row r="128" spans="1:29" ht="21.75" hidden="1" customHeight="1" x14ac:dyDescent="0.15">
      <c r="B128" s="82"/>
      <c r="C128" s="77"/>
      <c r="K128" s="110" t="s">
        <v>244</v>
      </c>
      <c r="L128" s="66" t="s">
        <v>159</v>
      </c>
      <c r="M128" s="103" t="s">
        <v>315</v>
      </c>
      <c r="N128" s="55">
        <v>4.6500000000000004</v>
      </c>
      <c r="O128" s="107">
        <v>0.49</v>
      </c>
      <c r="P128" s="107">
        <v>0.26</v>
      </c>
      <c r="Q128" s="107">
        <v>0.11</v>
      </c>
      <c r="T128" s="30" t="str">
        <f>IF(AND($G$7=$B$49,$I$7=$M128),"eeee","-")</f>
        <v>-</v>
      </c>
      <c r="U128" s="30" t="str">
        <f>IF(AND($G$8=$B$49,$I$8=$M128),"eeee","-")</f>
        <v>-</v>
      </c>
      <c r="V128" s="30" t="str">
        <f>IF(AND($G$9=$B$49,$I$9=$M128),"eeee","-")</f>
        <v>-</v>
      </c>
      <c r="W128" s="30" t="str">
        <f>IF(AND($G$10=$B$49,$I$10=$M128),"eeee","-")</f>
        <v>-</v>
      </c>
      <c r="X128" s="30" t="str">
        <f>IF(AND($G$11=$B$49,$I$11=$M128),"eeee","-")</f>
        <v>-</v>
      </c>
      <c r="Y128" s="30" t="str">
        <f>IF(AND($G$12=$B$49,$I$12=$M128),"eeee","-")</f>
        <v>-</v>
      </c>
      <c r="Z128" s="30" t="str">
        <f>IF(AND($G$13=$B$49,$I$13=$M128),"eeee","-")</f>
        <v>-</v>
      </c>
      <c r="AA128" s="30" t="str">
        <f>IF(AND($G$14=$B$49,$I$14=$M128),"eeee","-")</f>
        <v>-</v>
      </c>
      <c r="AB128" s="30" t="str">
        <f>IF(AND($G$15=$B$49,$I$15=$M128),"eeee","-")</f>
        <v>-</v>
      </c>
      <c r="AC128" s="30" t="str">
        <f>IF(AND($G$16=$B$49,$I$16=$M128),"eeee","-")</f>
        <v>-</v>
      </c>
    </row>
    <row r="129" spans="2:41" ht="21.75" hidden="1" customHeight="1" x14ac:dyDescent="0.15">
      <c r="B129" s="82"/>
      <c r="C129" s="77"/>
      <c r="K129" s="110" t="s">
        <v>245</v>
      </c>
      <c r="L129" s="66" t="s">
        <v>159</v>
      </c>
      <c r="M129" s="103" t="s">
        <v>316</v>
      </c>
      <c r="N129" s="55">
        <v>4.6500000000000004</v>
      </c>
      <c r="O129" s="107">
        <v>0.3</v>
      </c>
      <c r="P129" s="107">
        <v>0.19</v>
      </c>
      <c r="Q129" s="107">
        <v>0.08</v>
      </c>
      <c r="T129" s="30" t="str">
        <f>IF(AND($G$7=$B$49,$I$7=$M129),"ffff","-")</f>
        <v>-</v>
      </c>
      <c r="U129" s="30" t="str">
        <f>IF(AND($G$8=$B$49,$I$8=$M129),"ffff","-")</f>
        <v>-</v>
      </c>
      <c r="V129" s="30" t="str">
        <f>IF(AND($G$9=$B$49,$I$9=$M129),"ffff","-")</f>
        <v>-</v>
      </c>
      <c r="W129" s="30" t="str">
        <f>IF(AND($G$10=$B$49,$I$10=$M129),"ffff","-")</f>
        <v>-</v>
      </c>
      <c r="X129" s="30" t="str">
        <f>IF(AND($G$11=$B$49,$I$11=$M129),"ffff","-")</f>
        <v>-</v>
      </c>
      <c r="Y129" s="30" t="str">
        <f>IF(AND($G$12=$B$49,$I$12=$M129),"ffff","-")</f>
        <v>-</v>
      </c>
      <c r="Z129" s="30" t="str">
        <f>IF(AND($G$13=$B$49,$I$13=$M129),"ffff","-")</f>
        <v>-</v>
      </c>
      <c r="AA129" s="30" t="str">
        <f>IF(AND($G$14=$B$49,$I$14=$M129),"ffff","-")</f>
        <v>-</v>
      </c>
      <c r="AB129" s="30" t="str">
        <f>IF(AND($G$15=$B$49,$I$15=$M129),"ffff","-")</f>
        <v>-</v>
      </c>
      <c r="AC129" s="30" t="str">
        <f>IF(AND($G$16=$B$49,$I$16=$M129),"ffff","-")</f>
        <v>-</v>
      </c>
    </row>
    <row r="130" spans="2:41" ht="21.75" hidden="1" customHeight="1" x14ac:dyDescent="0.15">
      <c r="B130" s="82"/>
      <c r="C130" s="77"/>
      <c r="K130" s="110" t="s">
        <v>246</v>
      </c>
      <c r="L130" s="66" t="s">
        <v>159</v>
      </c>
      <c r="M130" s="103" t="s">
        <v>317</v>
      </c>
      <c r="N130" s="55">
        <v>4.6500000000000004</v>
      </c>
      <c r="O130" s="107">
        <v>0.13</v>
      </c>
      <c r="P130" s="107">
        <v>0.1</v>
      </c>
      <c r="Q130" s="107">
        <v>0.05</v>
      </c>
      <c r="T130" s="30" t="str">
        <f>IF(AND($G$7=$B$49,$I$7=$M130),"gggg","-")</f>
        <v>-</v>
      </c>
      <c r="U130" s="30" t="str">
        <f>IF(AND($G$8=$B$49,$I$8=$M130),"gggg","-")</f>
        <v>-</v>
      </c>
      <c r="V130" s="30" t="str">
        <f>IF(AND($G$9=$B$49,$I$9=$M130),"gggg","-")</f>
        <v>-</v>
      </c>
      <c r="W130" s="30" t="str">
        <f>IF(AND($G$10=$B$49,$I$10=$M130),"gggg","-")</f>
        <v>-</v>
      </c>
      <c r="X130" s="30" t="str">
        <f>IF(AND($G$11=$B$49,$I$11=$M130),"gggg","-")</f>
        <v>-</v>
      </c>
      <c r="Y130" s="30" t="str">
        <f>IF(AND($G$12=$B$49,$I$12=$M130),"gggg","-")</f>
        <v>-</v>
      </c>
      <c r="Z130" s="30" t="str">
        <f>IF(AND($G$13=$B$49,$I$13=$M130),"gggg","-")</f>
        <v>-</v>
      </c>
      <c r="AA130" s="30" t="str">
        <f>IF(AND($G$14=$B$49,$I$14=$M130),"gggg","-")</f>
        <v>-</v>
      </c>
      <c r="AB130" s="30" t="str">
        <f>IF(AND($G$15=$B$49,$I$15=$M130),"gggg","-")</f>
        <v>-</v>
      </c>
      <c r="AC130" s="30" t="str">
        <f>IF(AND($G$16=$B$49,$I$16=$M130),"gggg","-")</f>
        <v>-</v>
      </c>
    </row>
    <row r="131" spans="2:41" ht="21.75" hidden="1" customHeight="1" x14ac:dyDescent="0.15">
      <c r="B131" s="82"/>
      <c r="C131" s="77"/>
      <c r="K131" s="110" t="s">
        <v>247</v>
      </c>
      <c r="L131" s="66" t="s">
        <v>159</v>
      </c>
      <c r="M131" s="103" t="s">
        <v>318</v>
      </c>
      <c r="N131" s="55">
        <v>4.6500000000000004</v>
      </c>
      <c r="O131" s="107">
        <v>0.42</v>
      </c>
      <c r="P131" s="107">
        <v>0.22</v>
      </c>
      <c r="Q131" s="107">
        <v>0.1</v>
      </c>
      <c r="T131" s="30" t="str">
        <f>IF(AND($G$7=$B$49,$I$7=$M131),"hhhh","-")</f>
        <v>-</v>
      </c>
      <c r="U131" s="30" t="str">
        <f>IF(AND($G$8=$B$49,$I$8=$M131),"hhhh","-")</f>
        <v>-</v>
      </c>
      <c r="V131" s="30" t="str">
        <f>IF(AND($G$9=$B$49,$I$9=$M131),"hhhh","-")</f>
        <v>-</v>
      </c>
      <c r="W131" s="30" t="str">
        <f>IF(AND($G$10=$B$49,$I$10=$M131),"hhhh","-")</f>
        <v>-</v>
      </c>
      <c r="X131" s="30" t="str">
        <f>IF(AND($G$11=$B$49,$I$11=$M131),"hhhh","-")</f>
        <v>-</v>
      </c>
      <c r="Y131" s="30" t="str">
        <f>IF(AND($G$12=$B$49,$I$12=$M131),"hhhh","-")</f>
        <v>-</v>
      </c>
      <c r="Z131" s="30" t="str">
        <f>IF(AND($G$13=$B$49,$I$13=$M131),"hhhh","-")</f>
        <v>-</v>
      </c>
      <c r="AA131" s="30" t="str">
        <f>IF(AND($G$14=$B$49,$I$14=$M131),"hhhh","-")</f>
        <v>-</v>
      </c>
      <c r="AB131" s="30" t="str">
        <f>IF(AND($G$15=$B$49,$I$15=$M131),"hhhh","-")</f>
        <v>-</v>
      </c>
      <c r="AC131" s="30" t="str">
        <f>IF(AND($G$16=$B$49,$I$16=$M131),"hhhh","-")</f>
        <v>-</v>
      </c>
    </row>
    <row r="132" spans="2:41" ht="21.75" hidden="1" customHeight="1" x14ac:dyDescent="0.15">
      <c r="K132" s="110" t="s">
        <v>248</v>
      </c>
      <c r="L132" s="66" t="s">
        <v>159</v>
      </c>
      <c r="M132" s="103" t="s">
        <v>319</v>
      </c>
      <c r="N132" s="55">
        <v>4.6500000000000004</v>
      </c>
      <c r="O132" s="107">
        <v>0.63</v>
      </c>
      <c r="P132" s="107">
        <v>0.3</v>
      </c>
      <c r="Q132" s="107">
        <v>0.14000000000000001</v>
      </c>
      <c r="T132" s="30" t="str">
        <f>IF(AND($G$7=$B$49,$I$7=$M132),"iiii","-")</f>
        <v>-</v>
      </c>
      <c r="U132" s="30" t="str">
        <f>IF(AND($G$8=$B$49,$I$8=$M132),"iiii","-")</f>
        <v>-</v>
      </c>
      <c r="V132" s="30" t="str">
        <f>IF(AND($G$9=$B$49,$I$9=$M132),"iiii","-")</f>
        <v>-</v>
      </c>
      <c r="W132" s="30" t="str">
        <f>IF(AND($G$10=$B$49,$I$10=$M132),"iiii","-")</f>
        <v>-</v>
      </c>
      <c r="X132" s="30" t="str">
        <f>IF(AND($G$11=$B$49,$I$11=$M132),"iiii","-")</f>
        <v>-</v>
      </c>
      <c r="Y132" s="30" t="str">
        <f>IF(AND($G$12=$B$49,$I$12=$M132),"iiii","-")</f>
        <v>-</v>
      </c>
      <c r="Z132" s="30" t="str">
        <f>IF(AND($G$13=$B$49,$I$13=$M132),"iiii","-")</f>
        <v>-</v>
      </c>
      <c r="AA132" s="30" t="str">
        <f>IF(AND($G$14=$B$49,$I$14=$M132),"iiii","-")</f>
        <v>-</v>
      </c>
      <c r="AB132" s="30" t="str">
        <f>IF(AND($G$15=$B$49,$I$15=$M132),"iiii","-")</f>
        <v>-</v>
      </c>
      <c r="AC132" s="30" t="str">
        <f>IF(AND($G$16=$B$49,$I$16=$M132),"iiii","-")</f>
        <v>-</v>
      </c>
    </row>
    <row r="133" spans="2:41" ht="21.75" hidden="1" customHeight="1" x14ac:dyDescent="0.15">
      <c r="K133" s="110" t="s">
        <v>249</v>
      </c>
      <c r="L133" s="66" t="s">
        <v>159</v>
      </c>
      <c r="M133" s="103" t="s">
        <v>301</v>
      </c>
      <c r="N133" s="55">
        <v>4.07</v>
      </c>
      <c r="O133" s="107">
        <v>0.63</v>
      </c>
      <c r="P133" s="107">
        <v>0.3</v>
      </c>
      <c r="Q133" s="107">
        <v>0.14000000000000001</v>
      </c>
      <c r="T133" s="30" t="str">
        <f>IF(AND($G$7=$B$49,$I$7=$M133),"jjjj","-")</f>
        <v>-</v>
      </c>
      <c r="U133" s="30" t="str">
        <f>IF(AND($G$8=$B$49,$I$8=$M133),"jjjj","-")</f>
        <v>-</v>
      </c>
      <c r="V133" s="30" t="str">
        <f>IF(AND($G$9=$B$49,$I$9=$M133),"jjjj","-")</f>
        <v>-</v>
      </c>
      <c r="W133" s="30" t="str">
        <f>IF(AND($G$10=$B$49,$I$10=$M133),"jjjj","-")</f>
        <v>-</v>
      </c>
      <c r="X133" s="30" t="str">
        <f>IF(AND($G$11=$B$49,$I$11=$M133),"jjjj","-")</f>
        <v>-</v>
      </c>
      <c r="Y133" s="30" t="str">
        <f>IF(AND($G$12=$B$49,$I$12=$M133),"jjjj","-")</f>
        <v>-</v>
      </c>
      <c r="Z133" s="30" t="str">
        <f>IF(AND($G$13=$B$49,$I$13=$M133),"jjjj","-")</f>
        <v>-</v>
      </c>
      <c r="AA133" s="30" t="str">
        <f>IF(AND($G$14=$B$49,$I$14=$M133),"jjjj","-")</f>
        <v>-</v>
      </c>
      <c r="AB133" s="30" t="str">
        <f>IF(AND($G$15=$B$49,$I$15=$M133),"jjjj","-")</f>
        <v>-</v>
      </c>
      <c r="AC133" s="30" t="str">
        <f>IF(AND($G$16=$B$49,$I$16=$M133),"jjjj","-")</f>
        <v>-</v>
      </c>
    </row>
    <row r="134" spans="2:41" ht="21.75" hidden="1" customHeight="1" x14ac:dyDescent="0.15">
      <c r="K134" s="110" t="s">
        <v>250</v>
      </c>
      <c r="L134" s="66" t="s">
        <v>159</v>
      </c>
      <c r="M134" s="103" t="s">
        <v>320</v>
      </c>
      <c r="N134" s="55">
        <v>4.6500000000000004</v>
      </c>
      <c r="O134" s="107">
        <v>0.63</v>
      </c>
      <c r="P134" s="107">
        <v>0.3</v>
      </c>
      <c r="Q134" s="107">
        <v>0.14000000000000001</v>
      </c>
      <c r="T134" s="30" t="str">
        <f>IF(AND($G$7=$B$49,$I$7=$M134),"kkkk","-")</f>
        <v>-</v>
      </c>
      <c r="U134" s="30" t="str">
        <f>IF(AND($G$8=$B$49,$I$8=$M134),"kkkk","-")</f>
        <v>-</v>
      </c>
      <c r="V134" s="30" t="str">
        <f>IF(AND($G$9=$B$49,$I$9=$M134),"kkkk","-")</f>
        <v>-</v>
      </c>
      <c r="W134" s="30" t="str">
        <f>IF(AND($G$10=$B$49,$I$10=$M134),"kkkk","-")</f>
        <v>-</v>
      </c>
      <c r="X134" s="30" t="str">
        <f>IF(AND($G$11=$B$49,$I$11=$M134),"kkkk","-")</f>
        <v>-</v>
      </c>
      <c r="Y134" s="30" t="str">
        <f>IF(AND($G$12=$B$49,$I$12=$M134),"kkkk","-")</f>
        <v>-</v>
      </c>
      <c r="Z134" s="30" t="str">
        <f>IF(AND($G$13=$B$49,$I$13=$M134),"kkkk","-")</f>
        <v>-</v>
      </c>
      <c r="AA134" s="30" t="str">
        <f>IF(AND($G$14=$B$49,$I$14=$M134),"kkkk","-")</f>
        <v>-</v>
      </c>
      <c r="AB134" s="30" t="str">
        <f>IF(AND($G$15=$B$49,$I$15=$M134),"kkkk","-")</f>
        <v>-</v>
      </c>
      <c r="AC134" s="30" t="str">
        <f>IF(AND($G$16=$B$49,$I$16=$M134),"kkkk","-")</f>
        <v>-</v>
      </c>
    </row>
    <row r="135" spans="2:41" ht="21.75" hidden="1" customHeight="1" x14ac:dyDescent="0.15">
      <c r="K135" s="110" t="s">
        <v>251</v>
      </c>
      <c r="L135" s="66" t="s">
        <v>159</v>
      </c>
      <c r="M135" s="103" t="s">
        <v>321</v>
      </c>
      <c r="N135" s="55">
        <v>6.51</v>
      </c>
      <c r="O135" s="107">
        <v>0.7</v>
      </c>
      <c r="P135" s="107">
        <v>0.3</v>
      </c>
      <c r="Q135" s="107">
        <v>0.15</v>
      </c>
      <c r="T135" s="30" t="str">
        <f>IF(AND($G$7=$B$49,$I$7=$M135),"llll","-")</f>
        <v>-</v>
      </c>
      <c r="U135" s="30" t="str">
        <f>IF(AND($G$8=$B$49,$I$8=$M135),"llll","-")</f>
        <v>-</v>
      </c>
      <c r="V135" s="30" t="str">
        <f>IF(AND($G$9=$B$49,$I$9=$M135),"llll","-")</f>
        <v>-</v>
      </c>
      <c r="W135" s="30" t="str">
        <f>IF(AND($G$10=$B$49,$I$10=$M135),"llll","-")</f>
        <v>-</v>
      </c>
      <c r="X135" s="30" t="str">
        <f>IF(AND($G$11=$B$49,$I$11=$M135),"llll","-")</f>
        <v>-</v>
      </c>
      <c r="Y135" s="30" t="str">
        <f>IF(AND($G$12=$B$49,$I$12=$M135),"llll","-")</f>
        <v>-</v>
      </c>
      <c r="Z135" s="30" t="str">
        <f>IF(AND($G$13=$B$49,$I$13=$M135),"llll","-")</f>
        <v>-</v>
      </c>
      <c r="AA135" s="30" t="str">
        <f>IF(AND($G$14=$B$49,$I$14=$M135),"llll","-")</f>
        <v>-</v>
      </c>
      <c r="AB135" s="30" t="str">
        <f>IF(AND($G$15=$B$49,$I$15=$M135),"llll","-")</f>
        <v>-</v>
      </c>
      <c r="AC135" s="30" t="str">
        <f>IF(AND($G$16=$B$49,$I$16=$M135),"llll","-")</f>
        <v>-</v>
      </c>
    </row>
    <row r="136" spans="2:41" ht="21.75" hidden="1" customHeight="1" x14ac:dyDescent="0.15">
      <c r="K136" s="110" t="s">
        <v>252</v>
      </c>
      <c r="L136" s="66" t="s">
        <v>159</v>
      </c>
      <c r="M136" s="103" t="s">
        <v>278</v>
      </c>
      <c r="N136" s="55">
        <v>6.51</v>
      </c>
      <c r="O136" s="107">
        <v>0.54</v>
      </c>
      <c r="P136" s="107">
        <v>0.28000000000000003</v>
      </c>
      <c r="Q136" s="107">
        <v>0.13</v>
      </c>
      <c r="T136" s="30" t="str">
        <f>IF(AND($G$7=$B$49,$I$7=$M136),"mmmm","-")</f>
        <v>-</v>
      </c>
      <c r="U136" s="30" t="str">
        <f>IF(AND($G$8=$B$49,$I$8=$M136),"mmmm","-")</f>
        <v>-</v>
      </c>
      <c r="V136" s="30" t="str">
        <f>IF(AND($G$9=$B$49,$I$9=$M136),"mmmm","-")</f>
        <v>-</v>
      </c>
      <c r="W136" s="30" t="str">
        <f>IF(AND($G$10=$B$49,$I$10=$M136),"mmmm","-")</f>
        <v>-</v>
      </c>
      <c r="X136" s="30" t="str">
        <f>IF(AND($G$11=$B$49,$I$11=$M136),"mmmm","-")</f>
        <v>-</v>
      </c>
      <c r="Y136" s="30" t="str">
        <f>IF(AND($G$12=$B$49,$I$12=$M136),"mmmm","-")</f>
        <v>-</v>
      </c>
      <c r="Z136" s="30" t="str">
        <f>IF(AND($G$13=$B$49,$I$13=$M136),"mmmm","-")</f>
        <v>-</v>
      </c>
      <c r="AA136" s="30" t="str">
        <f>IF(AND($G$14=$B$49,$I$14=$M136),"mmmm","-")</f>
        <v>-</v>
      </c>
      <c r="AB136" s="30" t="str">
        <f>IF(AND($G$15=$B$49,$I$15=$M136),"mmmm","-")</f>
        <v>-</v>
      </c>
      <c r="AC136" s="30" t="str">
        <f>IF(AND($G$16=$B$49,$I$16=$M136),"mmmm","-")</f>
        <v>-</v>
      </c>
    </row>
    <row r="137" spans="2:41" ht="21.75" hidden="1" customHeight="1" x14ac:dyDescent="0.15">
      <c r="K137" s="110" t="s">
        <v>253</v>
      </c>
      <c r="L137" s="66" t="s">
        <v>159</v>
      </c>
      <c r="M137" s="103" t="s">
        <v>279</v>
      </c>
      <c r="N137" s="55">
        <v>6.51</v>
      </c>
      <c r="O137" s="107">
        <v>0.39</v>
      </c>
      <c r="P137" s="107">
        <v>0.24</v>
      </c>
      <c r="Q137" s="107">
        <v>0.1</v>
      </c>
      <c r="T137" s="30" t="str">
        <f>IF(AND($G$7=$B$49,$I$7=$M137),"nnnn","-")</f>
        <v>-</v>
      </c>
      <c r="U137" s="30" t="str">
        <f>IF(AND($G$8=$B$49,$I$8=$M137),"nnnn","-")</f>
        <v>-</v>
      </c>
      <c r="V137" s="30" t="str">
        <f>IF(AND($G$9=$B$49,$I$9=$M137),"nnnn","-")</f>
        <v>-</v>
      </c>
      <c r="W137" s="30" t="str">
        <f>IF(AND($G$10=$B$49,$I$10=$M137),"nnnn","-")</f>
        <v>-</v>
      </c>
      <c r="X137" s="30" t="str">
        <f>IF(AND($G$11=$B$49,$I$11=$M137),"nnnn","-")</f>
        <v>-</v>
      </c>
      <c r="Y137" s="30" t="str">
        <f>IF(AND($G$12=$B$49,$I$12=$M137),"nnnn","-")</f>
        <v>-</v>
      </c>
      <c r="Z137" s="30" t="str">
        <f>IF(AND($G$13=$B$49,$I$13=$M137),"nnnn","-")</f>
        <v>-</v>
      </c>
      <c r="AA137" s="30" t="str">
        <f>IF(AND($G$14=$B$49,$I$14=$M137),"nnnn","-")</f>
        <v>-</v>
      </c>
      <c r="AB137" s="30" t="str">
        <f>IF(AND($G$15=$B$49,$I$15=$M137),"nnnn","-")</f>
        <v>-</v>
      </c>
      <c r="AC137" s="30" t="str">
        <f>IF(AND($G$16=$B$49,$I$16=$M137),"nnnn","-")</f>
        <v>-</v>
      </c>
    </row>
    <row r="138" spans="2:41" ht="21.75" hidden="1" customHeight="1" x14ac:dyDescent="0.15">
      <c r="K138" s="110" t="s">
        <v>254</v>
      </c>
      <c r="L138" s="66" t="s">
        <v>159</v>
      </c>
      <c r="M138" s="103" t="s">
        <v>280</v>
      </c>
      <c r="N138" s="55">
        <v>6.51</v>
      </c>
      <c r="O138" s="107">
        <v>0.18</v>
      </c>
      <c r="P138" s="107">
        <v>0.16</v>
      </c>
      <c r="Q138" s="107">
        <v>0.06</v>
      </c>
      <c r="T138" s="30" t="str">
        <f>IF(AND($G$7=$B$49,$I$7=$M138),"oooo","-")</f>
        <v>-</v>
      </c>
      <c r="U138" s="30" t="str">
        <f>IF(AND($G$8=$B$49,$I$8=$M138),"oooo","-")</f>
        <v>-</v>
      </c>
      <c r="V138" s="30" t="str">
        <f>IF(AND($G$9=$B$49,$I$9=$M138),"oooo","-")</f>
        <v>-</v>
      </c>
      <c r="W138" s="30" t="str">
        <f>IF(AND($G$10=$B$49,$I$10=$M138),"oooo","-")</f>
        <v>-</v>
      </c>
      <c r="X138" s="30" t="str">
        <f>IF(AND($G$11=$B$49,$I$11=$M138),"oooo","-")</f>
        <v>-</v>
      </c>
      <c r="Y138" s="30" t="str">
        <f>IF(AND($G$12=$B$49,$I$12=$M138),"oooo","-")</f>
        <v>-</v>
      </c>
      <c r="Z138" s="30" t="str">
        <f>IF(AND($G$13=$B$49,$I$13=$M138),"oooo","-")</f>
        <v>-</v>
      </c>
      <c r="AA138" s="30" t="str">
        <f>IF(AND($G$14=$B$49,$I$14=$M138),"oooo","-")</f>
        <v>-</v>
      </c>
      <c r="AB138" s="30" t="str">
        <f>IF(AND($G$15=$B$49,$I$15=$M138),"oooo","-")</f>
        <v>-</v>
      </c>
      <c r="AC138" s="30" t="str">
        <f>IF(AND($G$16=$B$49,$I$16=$M138),"oooo","-")</f>
        <v>-</v>
      </c>
    </row>
    <row r="139" spans="2:41" ht="21.75" hidden="1" customHeight="1" x14ac:dyDescent="0.15">
      <c r="K139" s="110" t="s">
        <v>255</v>
      </c>
      <c r="L139" s="66" t="s">
        <v>159</v>
      </c>
      <c r="M139" s="103" t="s">
        <v>322</v>
      </c>
      <c r="N139" s="55">
        <v>6.51</v>
      </c>
      <c r="O139" s="107">
        <v>0.5</v>
      </c>
      <c r="P139" s="107">
        <v>0.27</v>
      </c>
      <c r="Q139" s="107">
        <v>0.12</v>
      </c>
      <c r="T139" s="30" t="str">
        <f>IF(AND($G$7=$B$49,$I$7=$M139),"pppp","-")</f>
        <v>-</v>
      </c>
      <c r="U139" s="30" t="str">
        <f>IF(AND($G$8=$B$49,$I$8=$M139),"pppp","-")</f>
        <v>-</v>
      </c>
      <c r="V139" s="30" t="str">
        <f>IF(AND($G$9=$B$49,$I$9=$M139),"pppp","-")</f>
        <v>-</v>
      </c>
      <c r="W139" s="30" t="str">
        <f>IF(AND($G$10=$B$49,$I$10=$M139),"pppp","-")</f>
        <v>-</v>
      </c>
      <c r="X139" s="30" t="str">
        <f>IF(AND($G$11=$B$49,$I$11=$M139),"pppp","-")</f>
        <v>-</v>
      </c>
      <c r="Y139" s="30" t="str">
        <f>IF(AND($G$12=$B$49,$I$12=$M139),"pppp","-")</f>
        <v>-</v>
      </c>
      <c r="Z139" s="30" t="str">
        <f>IF(AND($G$13=$B$49,$I$13=$M139),"pppp","-")</f>
        <v>-</v>
      </c>
      <c r="AA139" s="30" t="str">
        <f>IF(AND($G$14=$B$49,$I$14=$M139),"pppp","-")</f>
        <v>-</v>
      </c>
      <c r="AB139" s="30" t="str">
        <f>IF(AND($G$15=$B$49,$I$15=$M139),"pppp","-")</f>
        <v>-</v>
      </c>
      <c r="AC139" s="30" t="str">
        <f>IF(AND($G$16=$B$49,$I$16=$M139),"pppp","-")</f>
        <v>-</v>
      </c>
    </row>
    <row r="140" spans="2:41" ht="21.75" hidden="1" customHeight="1" x14ac:dyDescent="0.15"/>
    <row r="141" spans="2:41" ht="21.75" hidden="1" customHeight="1" x14ac:dyDescent="0.15">
      <c r="T141" s="30" t="s">
        <v>116</v>
      </c>
      <c r="U141" s="30" t="s">
        <v>117</v>
      </c>
      <c r="V141" s="30" t="s">
        <v>118</v>
      </c>
      <c r="W141" s="30" t="s">
        <v>119</v>
      </c>
      <c r="X141" s="30" t="s">
        <v>120</v>
      </c>
      <c r="Y141" s="30" t="s">
        <v>121</v>
      </c>
      <c r="Z141" s="30" t="s">
        <v>122</v>
      </c>
      <c r="AA141" s="30" t="s">
        <v>326</v>
      </c>
      <c r="AB141" s="30" t="s">
        <v>327</v>
      </c>
      <c r="AC141" s="30" t="s">
        <v>328</v>
      </c>
    </row>
    <row r="142" spans="2:41" ht="24" hidden="1" customHeight="1" x14ac:dyDescent="0.15">
      <c r="T142" s="54">
        <f t="array" ref="T142">SUM(IF(T46:T139="a",$N$46:$N$139,""))+SUM(IF(T46:T139="b",$N$46:$N$139,""))+SUM(IF(T46:T139="c",$N$46:$N$139,""))+SUM(IF(T46:T139="d",$N$46:$N$139,""))+SUM(IF(T46:T139="e",$N$46:$N$139,""))+SUM(IF(T46:T139="f",$N$46:$N$139,""))+SUM(IF(T46:T139="g",$N$46:$N$139,""))+SUM(IF(T46:T139="h",$N$46:$N$139,""))+SUM(IF(T46:T139="i",$N$46:$N$139,""))+SUM(IF(T46:T139="j",$N$46:$N$139,""))+SUM(IF(T46:T139="k",$N$46:$N$139,""))+SUM(IF(T46:T139="l",$N$46:$N$139,""))+SUM(IF(T46:T139="m",$N$46:$N$139,""))+SUM(IF(T46:T139="n",$N$46:$N$139,""))+SUM(IF(T46:T139="o",$N$46:$N$139,""))+SUM(IF(T46:T139="p",$N$46:$N$139,""))+SUM(IF(T46:T139="q",$N$46:$N$139,""))+SUM(IF(T46:T139="r",$N$46:$N$139,""))+SUM(IF(T46:T139="s",$N$46:$N$139,""))+SUM(IF(T46:T139="t",$N$46:$N$139,""))+SUM(IF(T46:T139="u",$N$46:$N$139,""))+SUM(IF(T46:T139="v",$N$46:$N$139,""))+SUM(IF(T46:T139="w",$N$46:$N$139,""))+SUM(IF(T46:T139="x",$N$46:$N$139,""))+SUM(IF(T46:T139="y",$N$46:$N$139,""))+SUM(IF(T46:T139="z",$N$46:$N$139,""))</f>
        <v>0</v>
      </c>
      <c r="U142" s="54">
        <f t="array" ref="U142">SUM(IF(U46:U139="a",$N$46:$N$139,""))+SUM(IF(U46:U139="b",$N$46:$N$139,""))+SUM(IF(U46:U139="c",$N$46:$N$139,""))+SUM(IF(U46:U139="d",$N$46:$N$139,""))+SUM(IF(U46:U139="e",$N$46:$N$139,""))+SUM(IF(U46:U139="f",$N$46:$N$139,""))+SUM(IF(U46:U139="g",$N$46:$N$139,""))+SUM(IF(U46:U139="h",$N$46:$N$139,""))+SUM(IF(U46:U139="i",$N$46:$N$139,""))+SUM(IF(U46:U139="j",$N$46:$N$139,""))+SUM(IF(U46:U139="k",$N$46:$N$139,""))+SUM(IF(U46:U139="l",$N$46:$N$139,""))+SUM(IF(U46:U139="m",$N$46:$N$139,""))+SUM(IF(U46:U139="n",$N$46:$N$139,""))+SUM(IF(U46:U139="o",$N$46:$N$139,""))+SUM(IF(U46:U139="p",$N$46:$N$139,""))+SUM(IF(U46:U139="q",$N$46:$N$139,""))+SUM(IF(U46:U139="r",$N$46:$N$139,""))+SUM(IF(U46:U139="s",$N$46:$N$139,""))+SUM(IF(U46:U139="t",$N$46:$N$139,""))+SUM(IF(U46:U139="u",$N$46:$N$139,""))+SUM(IF(U46:U139="v",$N$46:$N$139,""))+SUM(IF(U46:U139="w",$N$46:$N$139,""))+SUM(IF(U46:U139="x",$N$46:$N$139,""))+SUM(IF(U46:U139="y",$N$46:$N$139,""))+SUM(IF(U46:U139="z",$N$46:$N$139,""))</f>
        <v>0</v>
      </c>
      <c r="V142" s="54">
        <f t="array" ref="V142">SUM(IF(V46:V139="a",$N$46:$N$139,""))+SUM(IF(V46:V139="b",$N$46:$N$139,""))+SUM(IF(V46:V139="c",$N$46:$N$139,""))+SUM(IF(V46:V139="d",$N$46:$N$139,""))+SUM(IF(V46:V139="e",$N$46:$N$139,""))+SUM(IF(V46:V139="f",$N$46:$N$139,""))+SUM(IF(V46:V139="g",$N$46:$N$139,""))+SUM(IF(V46:V139="h",$N$46:$N$139,""))+SUM(IF(V46:V139="i",$N$46:$N$139,""))+SUM(IF(V46:V139="j",$N$46:$N$139,""))+SUM(IF(V46:V139="k",$N$46:$N$139,""))+SUM(IF(V46:V139="l",$N$46:$N$139,""))+SUM(IF(V46:V139="m",$N$46:$N$139,""))+SUM(IF(V46:V139="n",$N$46:$N$139,""))+SUM(IF(V46:V139="o",$N$46:$N$139,""))+SUM(IF(V46:V139="p",$N$46:$N$139,""))+SUM(IF(V46:V139="q",$N$46:$N$139,""))+SUM(IF(V46:V139="r",$N$46:$N$139,""))+SUM(IF(V46:V139="s",$N$46:$N$139,""))+SUM(IF(V46:V139="t",$N$46:$N$139,""))+SUM(IF(V46:V139="u",$N$46:$N$139,""))+SUM(IF(V46:V139="v",$N$46:$N$139,""))+SUM(IF(V46:V139="w",$N$46:$N$139,""))+SUM(IF(V46:V139="x",$N$46:$N$139,""))+SUM(IF(V46:V139="y",$N$46:$N$139,""))+SUM(IF(V46:V139="z",$N$46:$N$139,""))</f>
        <v>0</v>
      </c>
      <c r="W142" s="54">
        <f t="array" ref="W142">SUM(IF(W46:W139="a",$N$46:$N$139,""))+SUM(IF(W46:W139="b",$N$46:$N$139,""))+SUM(IF(W46:W139="c",$N$46:$N$139,""))+SUM(IF(W46:W139="d",$N$46:$N$139,""))+SUM(IF(W46:W139="e",$N$46:$N$139,""))+SUM(IF(W46:W139="f",$N$46:$N$139,""))+SUM(IF(W46:W139="g",$N$46:$N$139,""))+SUM(IF(W46:W139="h",$N$46:$N$139,""))+SUM(IF(W46:W139="i",$N$46:$N$139,""))+SUM(IF(W46:W139="j",$N$46:$N$139,""))+SUM(IF(W46:W139="k",$N$46:$N$139,""))+SUM(IF(W46:W139="l",$N$46:$N$139,""))+SUM(IF(W46:W139="m",$N$46:$N$139,""))+SUM(IF(W46:W139="n",$N$46:$N$139,""))+SUM(IF(W46:W139="o",$N$46:$N$139,""))+SUM(IF(W46:W139="p",$N$46:$N$139,""))+SUM(IF(W46:W139="q",$N$46:$N$139,""))+SUM(IF(W46:W139="r",$N$46:$N$139,""))+SUM(IF(W46:W139="s",$N$46:$N$139,""))+SUM(IF(W46:W139="t",$N$46:$N$139,""))+SUM(IF(W46:W139="u",$N$46:$N$139,""))+SUM(IF(W46:W139="v",$N$46:$N$139,""))+SUM(IF(W46:W139="w",$N$46:$N$139,""))+SUM(IF(W46:W139="x",$N$46:$N$139,""))+SUM(IF(W46:W139="y",$N$46:$N$139,""))+SUM(IF(W46:W139="z",$N$46:$N$139,""))</f>
        <v>0</v>
      </c>
      <c r="X142" s="54">
        <f t="array" ref="X142">SUM(IF(X46:X139="a",$N$46:$N$139,""))+SUM(IF(X46:X139="b",$N$46:$N$139,""))+SUM(IF(X46:X139="c",$N$46:$N$139,""))+SUM(IF(X46:X139="d",$N$46:$N$139,""))+SUM(IF(X46:X139="e",$N$46:$N$139,""))+SUM(IF(X46:X139="f",$N$46:$N$139,""))+SUM(IF(X46:X139="g",$N$46:$N$139,""))+SUM(IF(X46:X139="h",$N$46:$N$139,""))+SUM(IF(X46:X139="i",$N$46:$N$139,""))+SUM(IF(X46:X139="j",$N$46:$N$139,""))+SUM(IF(X46:X139="k",$N$46:$N$139,""))+SUM(IF(X46:X139="l",$N$46:$N$139,""))+SUM(IF(X46:X139="m",$N$46:$N$139,""))+SUM(IF(X46:X139="n",$N$46:$N$139,""))+SUM(IF(X46:X139="o",$N$46:$N$139,""))+SUM(IF(X46:X139="p",$N$46:$N$139,""))+SUM(IF(X46:X139="q",$N$46:$N$139,""))+SUM(IF(X46:X139="r",$N$46:$N$139,""))+SUM(IF(X46:X139="s",$N$46:$N$139,""))+SUM(IF(X46:X139="t",$N$46:$N$139,""))+SUM(IF(X46:X139="u",$N$46:$N$139,""))+SUM(IF(X46:X139="v",$N$46:$N$139,""))+SUM(IF(X46:X139="w",$N$46:$N$139,""))+SUM(IF(X46:X139="x",$N$46:$N$139,""))+SUM(IF(X46:X139="y",$N$46:$N$139,""))+SUM(IF(X46:X139="z",$N$46:$N$139,""))</f>
        <v>0</v>
      </c>
      <c r="Y142" s="54">
        <f t="array" ref="Y142">SUM(IF(Y46:Y139="a",$N$46:$N$139,""))+SUM(IF(Y46:Y139="b",$N$46:$N$139,""))+SUM(IF(Y46:Y139="c",$N$46:$N$139,""))+SUM(IF(Y46:Y139="d",$N$46:$N$139,""))+SUM(IF(Y46:Y139="e",$N$46:$N$139,""))+SUM(IF(Y46:Y139="f",$N$46:$N$139,""))+SUM(IF(Y46:Y139="g",$N$46:$N$139,""))+SUM(IF(Y46:Y139="h",$N$46:$N$139,""))+SUM(IF(Y46:Y139="i",$N$46:$N$139,""))+SUM(IF(Y46:Y139="j",$N$46:$N$139,""))+SUM(IF(Y46:Y139="k",$N$46:$N$139,""))+SUM(IF(Y46:Y139="l",$N$46:$N$139,""))+SUM(IF(Y46:Y139="m",$N$46:$N$139,""))+SUM(IF(Y46:Y139="n",$N$46:$N$139,""))+SUM(IF(Y46:Y139="o",$N$46:$N$139,""))+SUM(IF(Y46:Y139="p",$N$46:$N$139,""))+SUM(IF(Y46:Y139="q",$N$46:$N$139,""))+SUM(IF(Y46:Y139="r",$N$46:$N$139,""))+SUM(IF(Y46:Y139="s",$N$46:$N$139,""))+SUM(IF(Y46:Y139="t",$N$46:$N$139,""))+SUM(IF(Y46:Y139="u",$N$46:$N$139,""))+SUM(IF(Y46:Y139="v",$N$46:$N$139,""))+SUM(IF(Y46:Y139="w",$N$46:$N$139,""))+SUM(IF(Y46:Y139="x",$N$46:$N$139,""))+SUM(IF(Y46:Y139="y",$N$46:$N$139,""))+SUM(IF(Y46:Y139="z",$N$46:$N$139,""))</f>
        <v>0</v>
      </c>
      <c r="Z142" s="54">
        <f t="array" ref="Z142">SUM(IF(Z46:Z139="a",$N$46:$N$139,""))+SUM(IF(Z46:Z139="b",$N$46:$N$139,""))+SUM(IF(Z46:Z139="c",$N$46:$N$139,""))+SUM(IF(Z46:Z139="d",$N$46:$N$139,""))+SUM(IF(Z46:Z139="e",$N$46:$N$139,""))+SUM(IF(Z46:Z139="f",$N$46:$N$139,""))+SUM(IF(Z46:Z139="g",$N$46:$N$139,""))+SUM(IF(Z46:Z139="h",$N$46:$N$139,""))+SUM(IF(Z46:Z139="i",$N$46:$N$139,""))+SUM(IF(Z46:Z139="j",$N$46:$N$139,""))+SUM(IF(Z46:Z139="k",$N$46:$N$139,""))+SUM(IF(Z46:Z139="l",$N$46:$N$139,""))+SUM(IF(Z46:Z139="m",$N$46:$N$139,""))+SUM(IF(Z46:Z139="n",$N$46:$N$139,""))+SUM(IF(Z46:Z139="o",$N$46:$N$139,""))+SUM(IF(Z46:Z139="p",$N$46:$N$139,""))+SUM(IF(Z46:Z139="q",$N$46:$N$139,""))+SUM(IF(Z46:Z139="r",$N$46:$N$139,""))+SUM(IF(Z46:Z139="s",$N$46:$N$139,""))+SUM(IF(Z46:Z139="t",$N$46:$N$139,""))+SUM(IF(Z46:Z139="u",$N$46:$N$139,""))+SUM(IF(Z46:Z139="v",$N$46:$N$139,""))+SUM(IF(Z46:Z139="w",$N$46:$N$139,""))+SUM(IF(Z46:Z139="x",$N$46:$N$139,""))+SUM(IF(Z46:Z139="y",$N$46:$N$139,""))+SUM(IF(Z46:Z139="z",$N$46:$N$139,""))</f>
        <v>0</v>
      </c>
      <c r="AA142" s="54">
        <f t="array" ref="AA142">SUM(IF(AA46:AA139="a",$N$46:$N$139,""))+SUM(IF(AA46:AA139="b",$N$46:$N$139,""))+SUM(IF(AA46:AA139="c",$N$46:$N$139,""))+SUM(IF(AA46:AA139="d",$N$46:$N$139,""))+SUM(IF(AA46:AA139="e",$N$46:$N$139,""))+SUM(IF(AA46:AA139="f",$N$46:$N$139,""))+SUM(IF(AA46:AA139="g",$N$46:$N$139,""))+SUM(IF(AA46:AA139="h",$N$46:$N$139,""))+SUM(IF(AA46:AA139="i",$N$46:$N$139,""))+SUM(IF(AA46:AA139="j",$N$46:$N$139,""))+SUM(IF(AA46:AA139="k",$N$46:$N$139,""))+SUM(IF(AA46:AA139="l",$N$46:$N$139,""))+SUM(IF(AA46:AA139="m",$N$46:$N$139,""))+SUM(IF(AA46:AA139="n",$N$46:$N$139,""))+SUM(IF(AA46:AA139="o",$N$46:$N$139,""))+SUM(IF(AA46:AA139="p",$N$46:$N$139,""))+SUM(IF(AA46:AA139="q",$N$46:$N$139,""))+SUM(IF(AA46:AA139="r",$N$46:$N$139,""))+SUM(IF(AA46:AA139="s",$N$46:$N$139,""))+SUM(IF(AA46:AA139="t",$N$46:$N$139,""))+SUM(IF(AA46:AA139="u",$N$46:$N$139,""))+SUM(IF(AA46:AA139="v",$N$46:$N$139,""))+SUM(IF(AA46:AA139="w",$N$46:$N$139,""))+SUM(IF(AA46:AA139="x",$N$46:$N$139,""))+SUM(IF(AA46:AA139="y",$N$46:$N$139,""))+SUM(IF(AA46:AA139="z",$N$46:$N$139,""))</f>
        <v>0</v>
      </c>
      <c r="AB142" s="54">
        <f t="array" ref="AB142">SUM(IF(AB46:AB139="a",$N$46:$N$139,""))+SUM(IF(AB46:AB139="b",$N$46:$N$139,""))+SUM(IF(AB46:AB139="c",$N$46:$N$139,""))+SUM(IF(AB46:AB139="d",$N$46:$N$139,""))+SUM(IF(AB46:AB139="e",$N$46:$N$139,""))+SUM(IF(AB46:AB139="f",$N$46:$N$139,""))+SUM(IF(AB46:AB139="g",$N$46:$N$139,""))+SUM(IF(AB46:AB139="h",$N$46:$N$139,""))+SUM(IF(AB46:AB139="i",$N$46:$N$139,""))+SUM(IF(AB46:AB139="j",$N$46:$N$139,""))+SUM(IF(AB46:AB139="k",$N$46:$N$139,""))+SUM(IF(AB46:AB139="l",$N$46:$N$139,""))+SUM(IF(AB46:AB139="m",$N$46:$N$139,""))+SUM(IF(AB46:AB139="n",$N$46:$N$139,""))+SUM(IF(AB46:AB139="o",$N$46:$N$139,""))+SUM(IF(AB46:AB139="p",$N$46:$N$139,""))+SUM(IF(AB46:AB139="q",$N$46:$N$139,""))+SUM(IF(AB46:AB139="r",$N$46:$N$139,""))+SUM(IF(AB46:AB139="s",$N$46:$N$139,""))+SUM(IF(AB46:AB139="t",$N$46:$N$139,""))+SUM(IF(AB46:AB139="u",$N$46:$N$139,""))+SUM(IF(AB46:AB139="v",$N$46:$N$139,""))+SUM(IF(AB46:AB139="w",$N$46:$N$139,""))+SUM(IF(AB46:AB139="x",$N$46:$N$139,""))+SUM(IF(AB46:AB139="y",$N$46:$N$139,""))+SUM(IF(AB46:AB139="z",$N$46:$N$139,""))</f>
        <v>0</v>
      </c>
      <c r="AC142" s="54">
        <f t="array" ref="AC142">SUM(IF(AC46:AC139="a",$N$46:$N$139,""))+SUM(IF(AC46:AC139="b",$N$46:$N$139,""))+SUM(IF(AC46:AC139="c",$N$46:$N$139,""))+SUM(IF(AC46:AC139="d",$N$46:$N$139,""))+SUM(IF(AC46:AC139="e",$N$46:$N$139,""))+SUM(IF(AC46:AC139="f",$N$46:$N$139,""))+SUM(IF(AC46:AC139="g",$N$46:$N$139,""))+SUM(IF(AC46:AC139="h",$N$46:$N$139,""))+SUM(IF(AC46:AC139="i",$N$46:$N$139,""))+SUM(IF(AC46:AC139="j",$N$46:$N$139,""))+SUM(IF(AC46:AC139="k",$N$46:$N$139,""))+SUM(IF(AC46:AC139="l",$N$46:$N$139,""))+SUM(IF(AC46:AC139="m",$N$46:$N$139,""))+SUM(IF(AC46:AC139="n",$N$46:$N$139,""))+SUM(IF(AC46:AC139="o",$N$46:$N$139,""))+SUM(IF(AC46:AC139="p",$N$46:$N$139,""))+SUM(IF(AC46:AC139="q",$N$46:$N$139,""))+SUM(IF(AC46:AC139="r",$N$46:$N$139,""))+SUM(IF(AC46:AC139="s",$N$46:$N$139,""))+SUM(IF(AC46:AC139="t",$N$46:$N$139,""))+SUM(IF(AC46:AC139="u",$N$46:$N$139,""))+SUM(IF(AC46:AC139="v",$N$46:$N$139,""))+SUM(IF(AC46:AC139="w",$N$46:$N$139,""))+SUM(IF(AC46:AC139="x",$N$46:$N$139,""))+SUM(IF(AC46:AC139="y",$N$46:$N$139,""))+SUM(IF(AC46:AC139="z",$N$46:$N$139,""))</f>
        <v>0</v>
      </c>
      <c r="AD142" t="s">
        <v>256</v>
      </c>
      <c r="AO142" t="s">
        <v>812</v>
      </c>
    </row>
    <row r="143" spans="2:41" ht="24" hidden="1" customHeight="1" x14ac:dyDescent="0.15">
      <c r="T143" s="54">
        <f t="array" ref="T143">SUM(IF(T46:T139="aa",$N$46:$N$139,""))+SUM(IF(T46:T139="bb",$N$46:$N$139,""))+SUM(IF(T46:T139="cc",$N$46:$N$139,""))+SUM(IF(T46:T139="dd",$N$46:$N$139,""))+SUM(IF(T46:T139="ee",$N$46:$N$139,""))+SUM(IF(T46:T139="ff",$N$46:$N$139,""))+SUM(IF(T46:T139="gg",$N$46:$N$139,""))+SUM(IF(T46:T139="hh",$N$46:$N$139,""))+SUM(IF(T46:T139="ii",$N$46:$N$139,""))+SUM(IF(T46:T139="jj",$N$46:$N$139,""))+SUM(IF(T46:T139="kk",$N$46:$N$139,""))+SUM(IF(T46:T139="ll",$N$46:$N$139,""))+SUM(IF(T46:T139="mm",$N$46:$N$139,""))+SUM(IF(T46:T139="nn",$N$46:$N$139,""))+SUM(IF(T46:T139="oo",$N$46:$N$139,""))+SUM(IF(T46:T139="pp",$N$46:$N$139,""))+SUM(IF(T46:T139="qq",$N$46:$N$139,""))+SUM(IF(T46:T139="rr",$N$46:$N$139,""))+SUM(IF(T46:T139="ss",$N$46:$N$139,""))+SUM(IF(T46:T139="tt",$N$46:$N$139,""))+SUM(IF(T46:T139="uu",$N$46:$N$139,""))+SUM(IF(T46:T139="vv",$N$46:$N$139,""))+SUM(IF(T46:T139="ww",$N$46:$N$139,""))+SUM(IF(T46:T139="xx",$N$46:$N$139,""))+SUM(IF(T46:T139="yy",$N$46:$N$139,""))+SUM(IF(T46:T139="zz",$N$46:$N$139,""))</f>
        <v>0</v>
      </c>
      <c r="U143" s="54">
        <f t="array" ref="U143">SUM(IF(U46:U139="aa",$N$46:$N$139,""))+SUM(IF(U46:U139="bb",$N$46:$N$139,""))+SUM(IF(U46:U139="cc",$N$46:$N$139,""))+SUM(IF(U46:U139="dd",$N$46:$N$139,""))+SUM(IF(U46:U139="ee",$N$46:$N$139,""))+SUM(IF(U46:U139="ff",$N$46:$N$139,""))+SUM(IF(U46:U139="gg",$N$46:$N$139,""))+SUM(IF(U46:U139="hh",$N$46:$N$139,""))+SUM(IF(U46:U139="ii",$N$46:$N$139,""))+SUM(IF(U46:U139="jj",$N$46:$N$139,""))+SUM(IF(U46:U139="kk",$N$46:$N$139,""))+SUM(IF(U46:U139="ll",$N$46:$N$139,""))+SUM(IF(U46:U139="mm",$N$46:$N$139,""))+SUM(IF(U46:U139="nn",$N$46:$N$139,""))+SUM(IF(U46:U139="oo",$N$46:$N$139,""))+SUM(IF(U46:U139="pp",$N$46:$N$139,""))+SUM(IF(U46:U139="qq",$N$46:$N$139,""))+SUM(IF(U46:U139="rr",$N$46:$N$139,""))+SUM(IF(U46:U139="ss",$N$46:$N$139,""))+SUM(IF(U46:U139="tt",$N$46:$N$139,""))+SUM(IF(U46:U139="uu",$N$46:$N$139,""))+SUM(IF(U46:U139="vv",$N$46:$N$139,""))+SUM(IF(U46:U139="ww",$N$46:$N$139,""))+SUM(IF(U46:U139="xx",$N$46:$N$139,""))+SUM(IF(U46:U139="yy",$N$46:$N$139,""))+SUM(IF(U46:U139="zz",$N$46:$N$139,""))</f>
        <v>0</v>
      </c>
      <c r="V143" s="54">
        <f t="array" ref="V143">SUM(IF(V46:V139="aa",$N$46:$N$139,""))+SUM(IF(V46:V139="bb",$N$46:$N$139,""))+SUM(IF(V46:V139="cc",$N$46:$N$139,""))+SUM(IF(V46:V139="dd",$N$46:$N$139,""))+SUM(IF(V46:V139="ee",$N$46:$N$139,""))+SUM(IF(V46:V139="ff",$N$46:$N$139,""))+SUM(IF(V46:V139="gg",$N$46:$N$139,""))+SUM(IF(V46:V139="hh",$N$46:$N$139,""))+SUM(IF(V46:V139="ii",$N$46:$N$139,""))+SUM(IF(V46:V139="jj",$N$46:$N$139,""))+SUM(IF(V46:V139="kk",$N$46:$N$139,""))+SUM(IF(V46:V139="ll",$N$46:$N$139,""))+SUM(IF(V46:V139="mm",$N$46:$N$139,""))+SUM(IF(V46:V139="nn",$N$46:$N$139,""))+SUM(IF(V46:V139="oo",$N$46:$N$139,""))+SUM(IF(V46:V139="pp",$N$46:$N$139,""))+SUM(IF(V46:V139="qq",$N$46:$N$139,""))+SUM(IF(V46:V139="rr",$N$46:$N$139,""))+SUM(IF(V46:V139="ss",$N$46:$N$139,""))+SUM(IF(V46:V139="tt",$N$46:$N$139,""))+SUM(IF(V46:V139="uu",$N$46:$N$139,""))+SUM(IF(V46:V139="vv",$N$46:$N$139,""))+SUM(IF(V46:V139="ww",$N$46:$N$139,""))+SUM(IF(V46:V139="xx",$N$46:$N$139,""))+SUM(IF(V46:V139="yy",$N$46:$N$139,""))+SUM(IF(V46:V139="zz",$N$46:$N$139,""))</f>
        <v>0</v>
      </c>
      <c r="W143" s="54">
        <f t="array" ref="W143">SUM(IF(W46:W139="aa",$N$46:$N$139,""))+SUM(IF(W46:W139="bb",$N$46:$N$139,""))+SUM(IF(W46:W139="cc",$N$46:$N$139,""))+SUM(IF(W46:W139="dd",$N$46:$N$139,""))+SUM(IF(W46:W139="ee",$N$46:$N$139,""))+SUM(IF(W46:W139="ff",$N$46:$N$139,""))+SUM(IF(W46:W139="gg",$N$46:$N$139,""))+SUM(IF(W46:W139="hh",$N$46:$N$139,""))+SUM(IF(W46:W139="ii",$N$46:$N$139,""))+SUM(IF(W46:W139="jj",$N$46:$N$139,""))+SUM(IF(W46:W139="kk",$N$46:$N$139,""))+SUM(IF(W46:W139="ll",$N$46:$N$139,""))+SUM(IF(W46:W139="mm",$N$46:$N$139,""))+SUM(IF(W46:W139="nn",$N$46:$N$139,""))+SUM(IF(W46:W139="oo",$N$46:$N$139,""))+SUM(IF(W46:W139="pp",$N$46:$N$139,""))+SUM(IF(W46:W139="qq",$N$46:$N$139,""))+SUM(IF(W46:W139="rr",$N$46:$N$139,""))+SUM(IF(W46:W139="ss",$N$46:$N$139,""))+SUM(IF(W46:W139="tt",$N$46:$N$139,""))+SUM(IF(W46:W139="uu",$N$46:$N$139,""))+SUM(IF(W46:W139="vv",$N$46:$N$139,""))+SUM(IF(W46:W139="ww",$N$46:$N$139,""))+SUM(IF(W46:W139="xx",$N$46:$N$139,""))+SUM(IF(W46:W139="yy",$N$46:$N$139,""))+SUM(IF(W46:W139="zz",$N$46:$N$139,""))</f>
        <v>0</v>
      </c>
      <c r="X143" s="54">
        <f t="array" ref="X143">SUM(IF(X46:X139="aa",$N$46:$N$139,""))+SUM(IF(X46:X139="bb",$N$46:$N$139,""))+SUM(IF(X46:X139="cc",$N$46:$N$139,""))+SUM(IF(X46:X139="dd",$N$46:$N$139,""))+SUM(IF(X46:X139="ee",$N$46:$N$139,""))+SUM(IF(X46:X139="ff",$N$46:$N$139,""))+SUM(IF(X46:X139="gg",$N$46:$N$139,""))+SUM(IF(X46:X139="hh",$N$46:$N$139,""))+SUM(IF(X46:X139="ii",$N$46:$N$139,""))+SUM(IF(X46:X139="jj",$N$46:$N$139,""))+SUM(IF(X46:X139="kk",$N$46:$N$139,""))+SUM(IF(X46:X139="ll",$N$46:$N$139,""))+SUM(IF(X46:X139="mm",$N$46:$N$139,""))+SUM(IF(X46:X139="nn",$N$46:$N$139,""))+SUM(IF(X46:X139="oo",$N$46:$N$139,""))+SUM(IF(X46:X139="pp",$N$46:$N$139,""))+SUM(IF(X46:X139="qq",$N$46:$N$139,""))+SUM(IF(X46:X139="rr",$N$46:$N$139,""))+SUM(IF(X46:X139="ss",$N$46:$N$139,""))+SUM(IF(X46:X139="tt",$N$46:$N$139,""))+SUM(IF(X46:X139="uu",$N$46:$N$139,""))+SUM(IF(X46:X139="vv",$N$46:$N$139,""))+SUM(IF(X46:X139="ww",$N$46:$N$139,""))+SUM(IF(X46:X139="xx",$N$46:$N$139,""))+SUM(IF(X46:X139="yy",$N$46:$N$139,""))+SUM(IF(X46:X139="zz",$N$46:$N$139,""))</f>
        <v>0</v>
      </c>
      <c r="Y143" s="54">
        <f t="array" ref="Y143">SUM(IF(Y46:Y139="aa",$N$46:$N$139,""))+SUM(IF(Y46:Y139="bb",$N$46:$N$139,""))+SUM(IF(Y46:Y139="cc",$N$46:$N$139,""))+SUM(IF(Y46:Y139="dd",$N$46:$N$139,""))+SUM(IF(Y46:Y139="ee",$N$46:$N$139,""))+SUM(IF(Y46:Y139="ff",$N$46:$N$139,""))+SUM(IF(Y46:Y139="gg",$N$46:$N$139,""))+SUM(IF(Y46:Y139="hh",$N$46:$N$139,""))+SUM(IF(Y46:Y139="ii",$N$46:$N$139,""))+SUM(IF(Y46:Y139="jj",$N$46:$N$139,""))+SUM(IF(Y46:Y139="kk",$N$46:$N$139,""))+SUM(IF(Y46:Y139="ll",$N$46:$N$139,""))+SUM(IF(Y46:Y139="mm",$N$46:$N$139,""))+SUM(IF(Y46:Y139="nn",$N$46:$N$139,""))+SUM(IF(Y46:Y139="oo",$N$46:$N$139,""))+SUM(IF(Y46:Y139="pp",$N$46:$N$139,""))+SUM(IF(Y46:Y139="qq",$N$46:$N$139,""))+SUM(IF(Y46:Y139="rr",$N$46:$N$139,""))+SUM(IF(Y46:Y139="ss",$N$46:$N$139,""))+SUM(IF(Y46:Y139="tt",$N$46:$N$139,""))+SUM(IF(Y46:Y139="uu",$N$46:$N$139,""))+SUM(IF(Y46:Y139="vv",$N$46:$N$139,""))+SUM(IF(Y46:Y139="ww",$N$46:$N$139,""))+SUM(IF(Y46:Y139="xx",$N$46:$N$139,""))+SUM(IF(Y46:Y139="yy",$N$46:$N$139,""))+SUM(IF(Y46:Y139="zz",$N$46:$N$139,""))</f>
        <v>0</v>
      </c>
      <c r="Z143" s="54">
        <f t="array" ref="Z143">SUM(IF(Z46:Z139="aa",$N$46:$N$139,""))+SUM(IF(Z46:Z139="bb",$N$46:$N$139,""))+SUM(IF(Z46:Z139="cc",$N$46:$N$139,""))+SUM(IF(Z46:Z139="dd",$N$46:$N$139,""))+SUM(IF(Z46:Z139="ee",$N$46:$N$139,""))+SUM(IF(Z46:Z139="ff",$N$46:$N$139,""))+SUM(IF(Z46:Z139="gg",$N$46:$N$139,""))+SUM(IF(Z46:Z139="hh",$N$46:$N$139,""))+SUM(IF(Z46:Z139="ii",$N$46:$N$139,""))+SUM(IF(Z46:Z139="jj",$N$46:$N$139,""))+SUM(IF(Z46:Z139="kk",$N$46:$N$139,""))+SUM(IF(Z46:Z139="ll",$N$46:$N$139,""))+SUM(IF(Z46:Z139="mm",$N$46:$N$139,""))+SUM(IF(Z46:Z139="nn",$N$46:$N$139,""))+SUM(IF(Z46:Z139="oo",$N$46:$N$139,""))+SUM(IF(Z46:Z139="pp",$N$46:$N$139,""))+SUM(IF(Z46:Z139="qq",$N$46:$N$139,""))+SUM(IF(Z46:Z139="rr",$N$46:$N$139,""))+SUM(IF(Z46:Z139="ss",$N$46:$N$139,""))+SUM(IF(Z46:Z139="tt",$N$46:$N$139,""))+SUM(IF(Z46:Z139="uu",$N$46:$N$139,""))+SUM(IF(Z46:Z139="vv",$N$46:$N$139,""))+SUM(IF(Z46:Z139="ww",$N$46:$N$139,""))+SUM(IF(Z46:Z139="xx",$N$46:$N$139,""))+SUM(IF(Z46:Z139="yy",$N$46:$N$139,""))+SUM(IF(Z46:Z139="zz",$N$46:$N$139,""))</f>
        <v>0</v>
      </c>
      <c r="AA143" s="54">
        <f t="array" ref="AA143">SUM(IF(AA46:AA139="aa",$N$46:$N$139,""))+SUM(IF(AA46:AA139="bb",$N$46:$N$139,""))+SUM(IF(AA46:AA139="cc",$N$46:$N$139,""))+SUM(IF(AA46:AA139="dd",$N$46:$N$139,""))+SUM(IF(AA46:AA139="ee",$N$46:$N$139,""))+SUM(IF(AA46:AA139="ff",$N$46:$N$139,""))+SUM(IF(AA46:AA139="gg",$N$46:$N$139,""))+SUM(IF(AA46:AA139="hh",$N$46:$N$139,""))+SUM(IF(AA46:AA139="ii",$N$46:$N$139,""))+SUM(IF(AA46:AA139="jj",$N$46:$N$139,""))+SUM(IF(AA46:AA139="kk",$N$46:$N$139,""))+SUM(IF(AA46:AA139="ll",$N$46:$N$139,""))+SUM(IF(AA46:AA139="mm",$N$46:$N$139,""))+SUM(IF(AA46:AA139="nn",$N$46:$N$139,""))+SUM(IF(AA46:AA139="oo",$N$46:$N$139,""))+SUM(IF(AA46:AA139="pp",$N$46:$N$139,""))+SUM(IF(AA46:AA139="qq",$N$46:$N$139,""))+SUM(IF(AA46:AA139="rr",$N$46:$N$139,""))+SUM(IF(AA46:AA139="ss",$N$46:$N$139,""))+SUM(IF(AA46:AA139="tt",$N$46:$N$139,""))+SUM(IF(AA46:AA139="uu",$N$46:$N$139,""))+SUM(IF(AA46:AA139="vv",$N$46:$N$139,""))+SUM(IF(AA46:AA139="ww",$N$46:$N$139,""))+SUM(IF(AA46:AA139="xx",$N$46:$N$139,""))+SUM(IF(AA46:AA139="yy",$N$46:$N$139,""))+SUM(IF(AA46:AA139="zz",$N$46:$N$139,""))</f>
        <v>0</v>
      </c>
      <c r="AB143" s="54">
        <f t="array" ref="AB143">SUM(IF(AB46:AB139="aa",$N$46:$N$139,""))+SUM(IF(AB46:AB139="bb",$N$46:$N$139,""))+SUM(IF(AB46:AB139="cc",$N$46:$N$139,""))+SUM(IF(AB46:AB139="dd",$N$46:$N$139,""))+SUM(IF(AB46:AB139="ee",$N$46:$N$139,""))+SUM(IF(AB46:AB139="ff",$N$46:$N$139,""))+SUM(IF(AB46:AB139="gg",$N$46:$N$139,""))+SUM(IF(AB46:AB139="hh",$N$46:$N$139,""))+SUM(IF(AB46:AB139="ii",$N$46:$N$139,""))+SUM(IF(AB46:AB139="jj",$N$46:$N$139,""))+SUM(IF(AB46:AB139="kk",$N$46:$N$139,""))+SUM(IF(AB46:AB139="ll",$N$46:$N$139,""))+SUM(IF(AB46:AB139="mm",$N$46:$N$139,""))+SUM(IF(AB46:AB139="nn",$N$46:$N$139,""))+SUM(IF(AB46:AB139="oo",$N$46:$N$139,""))+SUM(IF(AB46:AB139="pp",$N$46:$N$139,""))+SUM(IF(AB46:AB139="qq",$N$46:$N$139,""))+SUM(IF(AB46:AB139="rr",$N$46:$N$139,""))+SUM(IF(AB46:AB139="ss",$N$46:$N$139,""))+SUM(IF(AB46:AB139="tt",$N$46:$N$139,""))+SUM(IF(AB46:AB139="uu",$N$46:$N$139,""))+SUM(IF(AB46:AB139="vv",$N$46:$N$139,""))+SUM(IF(AB46:AB139="ww",$N$46:$N$139,""))+SUM(IF(AB46:AB139="xx",$N$46:$N$139,""))+SUM(IF(AB46:AB139="yy",$N$46:$N$139,""))+SUM(IF(AB46:AB139="zz",$N$46:$N$139,""))</f>
        <v>0</v>
      </c>
      <c r="AC143" s="54">
        <f t="array" ref="AC143">SUM(IF(AC46:AC139="aa",$N$46:$N$139,""))+SUM(IF(AC46:AC139="bb",$N$46:$N$139,""))+SUM(IF(AC46:AC139="cc",$N$46:$N$139,""))+SUM(IF(AC46:AC139="dd",$N$46:$N$139,""))+SUM(IF(AC46:AC139="ee",$N$46:$N$139,""))+SUM(IF(AC46:AC139="ff",$N$46:$N$139,""))+SUM(IF(AC46:AC139="gg",$N$46:$N$139,""))+SUM(IF(AC46:AC139="hh",$N$46:$N$139,""))+SUM(IF(AC46:AC139="ii",$N$46:$N$139,""))+SUM(IF(AC46:AC139="jj",$N$46:$N$139,""))+SUM(IF(AC46:AC139="kk",$N$46:$N$139,""))+SUM(IF(AC46:AC139="ll",$N$46:$N$139,""))+SUM(IF(AC46:AC139="mm",$N$46:$N$139,""))+SUM(IF(AC46:AC139="nn",$N$46:$N$139,""))+SUM(IF(AC46:AC139="oo",$N$46:$N$139,""))+SUM(IF(AC46:AC139="pp",$N$46:$N$139,""))+SUM(IF(AC46:AC139="qq",$N$46:$N$139,""))+SUM(IF(AC46:AC139="rr",$N$46:$N$139,""))+SUM(IF(AC46:AC139="ss",$N$46:$N$139,""))+SUM(IF(AC46:AC139="tt",$N$46:$N$139,""))+SUM(IF(AC46:AC139="uu",$N$46:$N$139,""))+SUM(IF(AC46:AC139="vv",$N$46:$N$139,""))+SUM(IF(AC46:AC139="ww",$N$46:$N$139,""))+SUM(IF(AC46:AC139="xx",$N$46:$N$139,""))+SUM(IF(AC46:AC139="yy",$N$46:$N$139,""))+SUM(IF(AC46:AC139="zz",$N$46:$N$139,""))</f>
        <v>0</v>
      </c>
      <c r="AD143" t="s">
        <v>257</v>
      </c>
      <c r="AO143" t="s">
        <v>813</v>
      </c>
    </row>
    <row r="144" spans="2:41" ht="24" hidden="1" customHeight="1" x14ac:dyDescent="0.15">
      <c r="T144" s="54">
        <f t="array" ref="T144">SUM(IF(T46:T139="aaa",$N$46:$N$139,""))+SUM(IF(T46:T139="bbb",$N$46:$N$139,""))+SUM(IF(T46:T139="ccc",$N$46:$N$139,""))+SUM(IF(T46:T139="ddd",$N$46:$N$139,""))+SUM(IF(T46:T139="eee",$N$46:$N$139,""))+SUM(IF(T46:T139="fff",$N$46:$N$139,""))+SUM(IF(T46:T139="ggg",$N$46:$N$139,""))+SUM(IF(T46:T139="hhh",$N$46:$N$139,""))+SUM(IF(T46:T139="iii",$N$46:$N$139,""))+SUM(IF(T46:T139="jjj",$N$46:$N$139,""))+SUM(IF(T46:T139="kkk",$N$46:$N$139,""))+SUM(IF(T46:T139="lll",$N$46:$N$139,""))+SUM(IF(T46:T139="mmm",$N$46:$N$139,""))+SUM(IF(T46:T139="nnn",$N$46:$N$139,""))+SUM(IF(T46:T139="ooo",$N$46:$N$139,""))+SUM(IF(T46:T139="ppp",$N$46:$N$139,""))+SUM(IF(T46:T139="qqq",$N$46:$N$139,""))+SUM(IF(T46:T139="rrr",$N$46:$N$139,""))+SUM(IF(T46:T139="sss",$N$46:$N$139,""))+SUM(IF(T46:T139="ttt",$N$46:$N$139,""))+SUM(IF(T46:T139="uuu",$N$46:$N$139,""))+SUM(IF(T46:T139="vvv",$N$46:$N$139,""))+SUM(IF(T46:T139="www",$N$46:$N$139,""))+SUM(IF(T46:T139="xxx",$N$46:$N$139,""))+SUM(IF(T46:T139="yyy",$N$46:$N$139,""))+SUM(IF(T46:T139="zzz",$N$46:$N$139,""))</f>
        <v>0</v>
      </c>
      <c r="U144" s="54">
        <f t="array" ref="U144">SUM(IF(U46:U139="aaa",$N$46:$N$139,""))+SUM(IF(U46:U139="bbb",$N$46:$N$139,""))+SUM(IF(U46:U139="ccc",$N$46:$N$139,""))+SUM(IF(U46:U139="ddd",$N$46:$N$139,""))+SUM(IF(U46:U139="eee",$N$46:$N$139,""))+SUM(IF(U46:U139="fff",$N$46:$N$139,""))+SUM(IF(U46:U139="ggg",$N$46:$N$139,""))+SUM(IF(U46:U139="hhh",$N$46:$N$139,""))+SUM(IF(U46:U139="iii",$N$46:$N$139,""))+SUM(IF(U46:U139="jjj",$N$46:$N$139,""))+SUM(IF(U46:U139="kkk",$N$46:$N$139,""))+SUM(IF(U46:U139="lll",$N$46:$N$139,""))+SUM(IF(U46:U139="mmm",$N$46:$N$139,""))+SUM(IF(U46:U139="nnn",$N$46:$N$139,""))+SUM(IF(U46:U139="ooo",$N$46:$N$139,""))+SUM(IF(U46:U139="ppp",$N$46:$N$139,""))+SUM(IF(U46:U139="qqq",$N$46:$N$139,""))+SUM(IF(U46:U139="rrr",$N$46:$N$139,""))+SUM(IF(U46:U139="sss",$N$46:$N$139,""))+SUM(IF(U46:U139="ttt",$N$46:$N$139,""))+SUM(IF(U46:U139="uuu",$N$46:$N$139,""))+SUM(IF(U46:U139="vvv",$N$46:$N$139,""))+SUM(IF(U46:U139="www",$N$46:$N$139,""))+SUM(IF(U46:U139="xxx",$N$46:$N$139,""))+SUM(IF(U46:U139="yyy",$N$46:$N$139,""))+SUM(IF(U46:U139="zzz",$N$46:$N$139,""))</f>
        <v>0</v>
      </c>
      <c r="V144" s="54">
        <f t="array" ref="V144">SUM(IF(V46:V139="aaa",$N$46:$N$139,""))+SUM(IF(V46:V139="bbb",$N$46:$N$139,""))+SUM(IF(V46:V139="ccc",$N$46:$N$139,""))+SUM(IF(V46:V139="ddd",$N$46:$N$139,""))+SUM(IF(V46:V139="eee",$N$46:$N$139,""))+SUM(IF(V46:V139="fff",$N$46:$N$139,""))+SUM(IF(V46:V139="ggg",$N$46:$N$139,""))+SUM(IF(V46:V139="hhh",$N$46:$N$139,""))+SUM(IF(V46:V139="iii",$N$46:$N$139,""))+SUM(IF(V46:V139="jjj",$N$46:$N$139,""))+SUM(IF(V46:V139="kkk",$N$46:$N$139,""))+SUM(IF(V46:V139="lll",$N$46:$N$139,""))+SUM(IF(V46:V139="mmm",$N$46:$N$139,""))+SUM(IF(V46:V139="nnn",$N$46:$N$139,""))+SUM(IF(V46:V139="ooo",$N$46:$N$139,""))+SUM(IF(V46:V139="ppp",$N$46:$N$139,""))+SUM(IF(V46:V139="qqq",$N$46:$N$139,""))+SUM(IF(V46:V139="rrr",$N$46:$N$139,""))+SUM(IF(V46:V139="sss",$N$46:$N$139,""))+SUM(IF(V46:V139="ttt",$N$46:$N$139,""))+SUM(IF(V46:V139="uuu",$N$46:$N$139,""))+SUM(IF(V46:V139="vvv",$N$46:$N$139,""))+SUM(IF(V46:V139="www",$N$46:$N$139,""))+SUM(IF(V46:V139="xxx",$N$46:$N$139,""))+SUM(IF(V46:V139="yyy",$N$46:$N$139,""))+SUM(IF(V46:V139="zzz",$N$46:$N$139,""))</f>
        <v>0</v>
      </c>
      <c r="W144" s="54">
        <f t="array" ref="W144">SUM(IF(W46:W139="aaa",$N$46:$N$139,""))+SUM(IF(W46:W139="bbb",$N$46:$N$139,""))+SUM(IF(W46:W139="ccc",$N$46:$N$139,""))+SUM(IF(W46:W139="ddd",$N$46:$N$139,""))+SUM(IF(W46:W139="eee",$N$46:$N$139,""))+SUM(IF(W46:W139="fff",$N$46:$N$139,""))+SUM(IF(W46:W139="ggg",$N$46:$N$139,""))+SUM(IF(W46:W139="hhh",$N$46:$N$139,""))+SUM(IF(W46:W139="iii",$N$46:$N$139,""))+SUM(IF(W46:W139="jjj",$N$46:$N$139,""))+SUM(IF(W46:W139="kkk",$N$46:$N$139,""))+SUM(IF(W46:W139="lll",$N$46:$N$139,""))+SUM(IF(W46:W139="mmm",$N$46:$N$139,""))+SUM(IF(W46:W139="nnn",$N$46:$N$139,""))+SUM(IF(W46:W139="ooo",$N$46:$N$139,""))+SUM(IF(W46:W139="ppp",$N$46:$N$139,""))+SUM(IF(W46:W139="qqq",$N$46:$N$139,""))+SUM(IF(W46:W139="rrr",$N$46:$N$139,""))+SUM(IF(W46:W139="sss",$N$46:$N$139,""))+SUM(IF(W46:W139="ttt",$N$46:$N$139,""))+SUM(IF(W46:W139="uuu",$N$46:$N$139,""))+SUM(IF(W46:W139="vvv",$N$46:$N$139,""))+SUM(IF(W46:W139="www",$N$46:$N$139,""))+SUM(IF(W46:W139="xxx",$N$46:$N$139,""))+SUM(IF(W46:W139="yyy",$N$46:$N$139,""))+SUM(IF(W46:W139="zzz",$N$46:$N$139,""))</f>
        <v>0</v>
      </c>
      <c r="X144" s="54">
        <f t="array" ref="X144">SUM(IF(X46:X139="aaa",$N$46:$N$139,""))+SUM(IF(X46:X139="bbb",$N$46:$N$139,""))+SUM(IF(X46:X139="ccc",$N$46:$N$139,""))+SUM(IF(X46:X139="ddd",$N$46:$N$139,""))+SUM(IF(X46:X139="eee",$N$46:$N$139,""))+SUM(IF(X46:X139="fff",$N$46:$N$139,""))+SUM(IF(X46:X139="ggg",$N$46:$N$139,""))+SUM(IF(X46:X139="hhh",$N$46:$N$139,""))+SUM(IF(X46:X139="iii",$N$46:$N$139,""))+SUM(IF(X46:X139="jjj",$N$46:$N$139,""))+SUM(IF(X46:X139="kkk",$N$46:$N$139,""))+SUM(IF(X46:X139="lll",$N$46:$N$139,""))+SUM(IF(X46:X139="mmm",$N$46:$N$139,""))+SUM(IF(X46:X139="nnn",$N$46:$N$139,""))+SUM(IF(X46:X139="ooo",$N$46:$N$139,""))+SUM(IF(X46:X139="ppp",$N$46:$N$139,""))+SUM(IF(X46:X139="qqq",$N$46:$N$139,""))+SUM(IF(X46:X139="rrr",$N$46:$N$139,""))+SUM(IF(X46:X139="sss",$N$46:$N$139,""))+SUM(IF(X46:X139="ttt",$N$46:$N$139,""))+SUM(IF(X46:X139="uuu",$N$46:$N$139,""))+SUM(IF(X46:X139="vvv",$N$46:$N$139,""))+SUM(IF(X46:X139="www",$N$46:$N$139,""))+SUM(IF(X46:X139="xxx",$N$46:$N$139,""))+SUM(IF(X46:X139="yyy",$N$46:$N$139,""))+SUM(IF(X46:X139="zzz",$N$46:$N$139,""))</f>
        <v>0</v>
      </c>
      <c r="Y144" s="54">
        <f t="array" ref="Y144">SUM(IF(Y46:Y139="aaa",$N$46:$N$139,""))+SUM(IF(Y46:Y139="bbb",$N$46:$N$139,""))+SUM(IF(Y46:Y139="ccc",$N$46:$N$139,""))+SUM(IF(Y46:Y139="ddd",$N$46:$N$139,""))+SUM(IF(Y46:Y139="eee",$N$46:$N$139,""))+SUM(IF(Y46:Y139="fff",$N$46:$N$139,""))+SUM(IF(Y46:Y139="ggg",$N$46:$N$139,""))+SUM(IF(Y46:Y139="hhh",$N$46:$N$139,""))+SUM(IF(Y46:Y139="iii",$N$46:$N$139,""))+SUM(IF(Y46:Y139="jjj",$N$46:$N$139,""))+SUM(IF(Y46:Y139="kkk",$N$46:$N$139,""))+SUM(IF(Y46:Y139="lll",$N$46:$N$139,""))+SUM(IF(Y46:Y139="mmm",$N$46:$N$139,""))+SUM(IF(Y46:Y139="nnn",$N$46:$N$139,""))+SUM(IF(Y46:Y139="ooo",$N$46:$N$139,""))+SUM(IF(Y46:Y139="ppp",$N$46:$N$139,""))+SUM(IF(Y46:Y139="qqq",$N$46:$N$139,""))+SUM(IF(Y46:Y139="rrr",$N$46:$N$139,""))+SUM(IF(Y46:Y139="sss",$N$46:$N$139,""))+SUM(IF(Y46:Y139="ttt",$N$46:$N$139,""))+SUM(IF(Y46:Y139="uuu",$N$46:$N$139,""))+SUM(IF(Y46:Y139="vvv",$N$46:$N$139,""))+SUM(IF(Y46:Y139="www",$N$46:$N$139,""))+SUM(IF(Y46:Y139="xxx",$N$46:$N$139,""))+SUM(IF(Y46:Y139="yyy",$N$46:$N$139,""))+SUM(IF(Y46:Y139="zzz",$N$46:$N$139,""))</f>
        <v>0</v>
      </c>
      <c r="Z144" s="54">
        <f t="array" ref="Z144">SUM(IF(Z46:Z139="aaa",$N$46:$N$139,""))+SUM(IF(Z46:Z139="bbb",$N$46:$N$139,""))+SUM(IF(Z46:Z139="ccc",$N$46:$N$139,""))+SUM(IF(Z46:Z139="ddd",$N$46:$N$139,""))+SUM(IF(Z46:Z139="eee",$N$46:$N$139,""))+SUM(IF(Z46:Z139="fff",$N$46:$N$139,""))+SUM(IF(Z46:Z139="ggg",$N$46:$N$139,""))+SUM(IF(Z46:Z139="hhh",$N$46:$N$139,""))+SUM(IF(Z46:Z139="iii",$N$46:$N$139,""))+SUM(IF(Z46:Z139="jjj",$N$46:$N$139,""))+SUM(IF(Z46:Z139="kkk",$N$46:$N$139,""))+SUM(IF(Z46:Z139="lll",$N$46:$N$139,""))+SUM(IF(Z46:Z139="mmm",$N$46:$N$139,""))+SUM(IF(Z46:Z139="nnn",$N$46:$N$139,""))+SUM(IF(Z46:Z139="ooo",$N$46:$N$139,""))+SUM(IF(Z46:Z139="ppp",$N$46:$N$139,""))+SUM(IF(Z46:Z139="qqq",$N$46:$N$139,""))+SUM(IF(Z46:Z139="rrr",$N$46:$N$139,""))+SUM(IF(Z46:Z139="sss",$N$46:$N$139,""))+SUM(IF(Z46:Z139="ttt",$N$46:$N$139,""))+SUM(IF(Z46:Z139="uuu",$N$46:$N$139,""))+SUM(IF(Z46:Z139="vvv",$N$46:$N$139,""))+SUM(IF(Z46:Z139="www",$N$46:$N$139,""))+SUM(IF(Z46:Z139="xxx",$N$46:$N$139,""))+SUM(IF(Z46:Z139="yyy",$N$46:$N$139,""))+SUM(IF(Z46:Z139="zzz",$N$46:$N$139,""))</f>
        <v>0</v>
      </c>
      <c r="AA144" s="54">
        <f t="array" ref="AA144">SUM(IF(AA46:AA139="aaa",$N$46:$N$139,""))+SUM(IF(AA46:AA139="bbb",$N$46:$N$139,""))+SUM(IF(AA46:AA139="ccc",$N$46:$N$139,""))+SUM(IF(AA46:AA139="ddd",$N$46:$N$139,""))+SUM(IF(AA46:AA139="eee",$N$46:$N$139,""))+SUM(IF(AA46:AA139="fff",$N$46:$N$139,""))+SUM(IF(AA46:AA139="ggg",$N$46:$N$139,""))+SUM(IF(AA46:AA139="hhh",$N$46:$N$139,""))+SUM(IF(AA46:AA139="iii",$N$46:$N$139,""))+SUM(IF(AA46:AA139="jjj",$N$46:$N$139,""))+SUM(IF(AA46:AA139="kkk",$N$46:$N$139,""))+SUM(IF(AA46:AA139="lll",$N$46:$N$139,""))+SUM(IF(AA46:AA139="mmm",$N$46:$N$139,""))+SUM(IF(AA46:AA139="nnn",$N$46:$N$139,""))+SUM(IF(AA46:AA139="ooo",$N$46:$N$139,""))+SUM(IF(AA46:AA139="ppp",$N$46:$N$139,""))+SUM(IF(AA46:AA139="qqq",$N$46:$N$139,""))+SUM(IF(AA46:AA139="rrr",$N$46:$N$139,""))+SUM(IF(AA46:AA139="sss",$N$46:$N$139,""))+SUM(IF(AA46:AA139="ttt",$N$46:$N$139,""))+SUM(IF(AA46:AA139="uuu",$N$46:$N$139,""))+SUM(IF(AA46:AA139="vvv",$N$46:$N$139,""))+SUM(IF(AA46:AA139="www",$N$46:$N$139,""))+SUM(IF(AA46:AA139="xxx",$N$46:$N$139,""))+SUM(IF(AA46:AA139="yyy",$N$46:$N$139,""))+SUM(IF(AA46:AA139="zzz",$N$46:$N$139,""))</f>
        <v>0</v>
      </c>
      <c r="AB144" s="54">
        <f t="array" ref="AB144">SUM(IF(AB46:AB139="aaa",$N$46:$N$139,""))+SUM(IF(AB46:AB139="bbb",$N$46:$N$139,""))+SUM(IF(AB46:AB139="ccc",$N$46:$N$139,""))+SUM(IF(AB46:AB139="ddd",$N$46:$N$139,""))+SUM(IF(AB46:AB139="eee",$N$46:$N$139,""))+SUM(IF(AB46:AB139="fff",$N$46:$N$139,""))+SUM(IF(AB46:AB139="ggg",$N$46:$N$139,""))+SUM(IF(AB46:AB139="hhh",$N$46:$N$139,""))+SUM(IF(AB46:AB139="iii",$N$46:$N$139,""))+SUM(IF(AB46:AB139="jjj",$N$46:$N$139,""))+SUM(IF(AB46:AB139="kkk",$N$46:$N$139,""))+SUM(IF(AB46:AB139="lll",$N$46:$N$139,""))+SUM(IF(AB46:AB139="mmm",$N$46:$N$139,""))+SUM(IF(AB46:AB139="nnn",$N$46:$N$139,""))+SUM(IF(AB46:AB139="ooo",$N$46:$N$139,""))+SUM(IF(AB46:AB139="ppp",$N$46:$N$139,""))+SUM(IF(AB46:AB139="qqq",$N$46:$N$139,""))+SUM(IF(AB46:AB139="rrr",$N$46:$N$139,""))+SUM(IF(AB46:AB139="sss",$N$46:$N$139,""))+SUM(IF(AB46:AB139="ttt",$N$46:$N$139,""))+SUM(IF(AB46:AB139="uuu",$N$46:$N$139,""))+SUM(IF(AB46:AB139="vvv",$N$46:$N$139,""))+SUM(IF(AB46:AB139="www",$N$46:$N$139,""))+SUM(IF(AB46:AB139="xxx",$N$46:$N$139,""))+SUM(IF(AB46:AB139="yyy",$N$46:$N$139,""))+SUM(IF(AB46:AB139="zzz",$N$46:$N$139,""))</f>
        <v>0</v>
      </c>
      <c r="AC144" s="54">
        <f t="array" ref="AC144">SUM(IF(AC46:AC139="aaa",$N$46:$N$139,""))+SUM(IF(AC46:AC139="bbb",$N$46:$N$139,""))+SUM(IF(AC46:AC139="ccc",$N$46:$N$139,""))+SUM(IF(AC46:AC139="ddd",$N$46:$N$139,""))+SUM(IF(AC46:AC139="eee",$N$46:$N$139,""))+SUM(IF(AC46:AC139="fff",$N$46:$N$139,""))+SUM(IF(AC46:AC139="ggg",$N$46:$N$139,""))+SUM(IF(AC46:AC139="hhh",$N$46:$N$139,""))+SUM(IF(AC46:AC139="iii",$N$46:$N$139,""))+SUM(IF(AC46:AC139="jjj",$N$46:$N$139,""))+SUM(IF(AC46:AC139="kkk",$N$46:$N$139,""))+SUM(IF(AC46:AC139="lll",$N$46:$N$139,""))+SUM(IF(AC46:AC139="mmm",$N$46:$N$139,""))+SUM(IF(AC46:AC139="nnn",$N$46:$N$139,""))+SUM(IF(AC46:AC139="ooo",$N$46:$N$139,""))+SUM(IF(AC46:AC139="ppp",$N$46:$N$139,""))+SUM(IF(AC46:AC139="qqq",$N$46:$N$139,""))+SUM(IF(AC46:AC139="rrr",$N$46:$N$139,""))+SUM(IF(AC46:AC139="sss",$N$46:$N$139,""))+SUM(IF(AC46:AC139="ttt",$N$46:$N$139,""))+SUM(IF(AC46:AC139="uuu",$N$46:$N$139,""))+SUM(IF(AC46:AC139="vvv",$N$46:$N$139,""))+SUM(IF(AC46:AC139="www",$N$46:$N$139,""))+SUM(IF(AC46:AC139="xxx",$N$46:$N$139,""))+SUM(IF(AC46:AC139="yyy",$N$46:$N$139,""))+SUM(IF(AC46:AC139="zzz",$N$46:$N$139,""))</f>
        <v>0</v>
      </c>
      <c r="AD144" t="s">
        <v>258</v>
      </c>
      <c r="AO144" t="s">
        <v>814</v>
      </c>
    </row>
    <row r="145" spans="20:41" ht="24" hidden="1" customHeight="1" x14ac:dyDescent="0.15">
      <c r="T145" s="54">
        <f t="array" ref="T145">SUM(IF(T46:T139="aaaa",$N$46:$N$139,""))+SUM(IF(T46:T139="bbbb",$N$46:$N$139,""))+SUM(IF(T46:T139="cccc",$N$46:$N$139,""))+SUM(IF(T46:T139="dddd",$N$46:$N$139,""))+SUM(IF(T46:T139="eeee",$N$46:$N$139,""))+SUM(IF(T46:T139="ffff",$N$46:$N$139,""))+SUM(IF(T46:T139="gggg",$N$46:$N$139,""))+SUM(IF(T46:T139="hhhh",$N$46:$N$139,""))+SUM(IF(T46:T139="iiii",$N$46:$N$139,""))+SUM(IF(T46:T139="jjjj",$N$46:$N$139,""))+SUM(IF(T46:T139="kkkk",$N$46:$N$139,""))+SUM(IF(T46:T139="llll",$N$46:$N$139,""))+SUM(IF(T46:T139="mmmm",$N$46:$N$139,""))+SUM(IF(T46:T139="nnnn",$N$46:$N$139,""))+SUM(IF(T46:T139="oooo",$N$46:$N$139,""))+SUM(IF(T46:T139="pppp",$N$46:$N$139,""))</f>
        <v>0</v>
      </c>
      <c r="U145" s="54">
        <f t="array" ref="U145">SUM(IF(U46:U139="aaaa",$N$46:$N$139,""))+SUM(IF(U46:U139="bbbb",$N$46:$N$139,""))+SUM(IF(U46:U139="cccc",$N$46:$N$139,""))+SUM(IF(U46:U139="dddd",$N$46:$N$139,""))+SUM(IF(U46:U139="eeee",$N$46:$N$139,""))+SUM(IF(U46:U139="ffff",$N$46:$N$139,""))+SUM(IF(U46:U139="gggg",$N$46:$N$139,""))+SUM(IF(U46:U139="hhhh",$N$46:$N$139,""))+SUM(IF(U46:U139="iiii",$N$46:$N$139,""))+SUM(IF(U46:U139="jjjj",$N$46:$N$139,""))+SUM(IF(U46:U139="kkkk",$N$46:$N$139,""))+SUM(IF(U46:U139="llll",$N$46:$N$139,""))+SUM(IF(U46:U139="mmmm",$N$46:$N$139,""))+SUM(IF(U46:U139="nnnn",$N$46:$N$139,""))+SUM(IF(U46:U139="oooo",$N$46:$N$139,""))+SUM(IF(U46:U139="pppp",$N$46:$N$139,""))</f>
        <v>0</v>
      </c>
      <c r="V145" s="54">
        <f t="array" ref="V145">SUM(IF(V46:V139="aaaa",$N$46:$N$139,""))+SUM(IF(V46:V139="bbbb",$N$46:$N$139,""))+SUM(IF(V46:V139="cccc",$N$46:$N$139,""))+SUM(IF(V46:V139="dddd",$N$46:$N$139,""))+SUM(IF(V46:V139="eeee",$N$46:$N$139,""))+SUM(IF(V46:V139="ffff",$N$46:$N$139,""))+SUM(IF(V46:V139="gggg",$N$46:$N$139,""))+SUM(IF(V46:V139="hhhh",$N$46:$N$139,""))+SUM(IF(V46:V139="iiii",$N$46:$N$139,""))+SUM(IF(V46:V139="jjjj",$N$46:$N$139,""))+SUM(IF(V46:V139="kkkk",$N$46:$N$139,""))+SUM(IF(V46:V139="llll",$N$46:$N$139,""))+SUM(IF(V46:V139="mmmm",$N$46:$N$139,""))+SUM(IF(V46:V139="nnnn",$N$46:$N$139,""))+SUM(IF(V46:V139="oooo",$N$46:$N$139,""))+SUM(IF(V46:V139="pppp",$N$46:$N$139,""))</f>
        <v>0</v>
      </c>
      <c r="W145" s="54">
        <f t="array" ref="W145">SUM(IF(W46:W139="aaaa",$N$46:$N$139,""))+SUM(IF(W46:W139="bbbb",$N$46:$N$139,""))+SUM(IF(W46:W139="cccc",$N$46:$N$139,""))+SUM(IF(W46:W139="dddd",$N$46:$N$139,""))+SUM(IF(W46:W139="eeee",$N$46:$N$139,""))+SUM(IF(W46:W139="ffff",$N$46:$N$139,""))+SUM(IF(W46:W139="gggg",$N$46:$N$139,""))+SUM(IF(W46:W139="hhhh",$N$46:$N$139,""))+SUM(IF(W46:W139="iiii",$N$46:$N$139,""))+SUM(IF(W46:W139="jjjj",$N$46:$N$139,""))+SUM(IF(W46:W139="kkkk",$N$46:$N$139,""))+SUM(IF(W46:W139="llll",$N$46:$N$139,""))+SUM(IF(W46:W139="mmmm",$N$46:$N$139,""))+SUM(IF(W46:W139="nnnn",$N$46:$N$139,""))+SUM(IF(W46:W139="oooo",$N$46:$N$139,""))+SUM(IF(W46:W139="pppp",$N$46:$N$139,""))</f>
        <v>0</v>
      </c>
      <c r="X145" s="54">
        <f t="array" ref="X145">SUM(IF(X46:X139="aaaa",$N$46:$N$139,""))+SUM(IF(X46:X139="bbbb",$N$46:$N$139,""))+SUM(IF(X46:X139="cccc",$N$46:$N$139,""))+SUM(IF(X46:X139="dddd",$N$46:$N$139,""))+SUM(IF(X46:X139="eeee",$N$46:$N$139,""))+SUM(IF(X46:X139="ffff",$N$46:$N$139,""))+SUM(IF(X46:X139="gggg",$N$46:$N$139,""))+SUM(IF(X46:X139="hhhh",$N$46:$N$139,""))+SUM(IF(X46:X139="iiii",$N$46:$N$139,""))+SUM(IF(X46:X139="jjjj",$N$46:$N$139,""))+SUM(IF(X46:X139="kkkk",$N$46:$N$139,""))+SUM(IF(X46:X139="llll",$N$46:$N$139,""))+SUM(IF(X46:X139="mmmm",$N$46:$N$139,""))+SUM(IF(X46:X139="nnnn",$N$46:$N$139,""))+SUM(IF(X46:X139="oooo",$N$46:$N$139,""))+SUM(IF(X46:X139="pppp",$N$46:$N$139,""))</f>
        <v>0</v>
      </c>
      <c r="Y145" s="54">
        <f t="array" ref="Y145">SUM(IF(Y46:Y139="aaaa",$N$46:$N$139,""))+SUM(IF(Y46:Y139="bbbb",$N$46:$N$139,""))+SUM(IF(Y46:Y139="cccc",$N$46:$N$139,""))+SUM(IF(Y46:Y139="dddd",$N$46:$N$139,""))+SUM(IF(Y46:Y139="eeee",$N$46:$N$139,""))+SUM(IF(Y46:Y139="ffff",$N$46:$N$139,""))+SUM(IF(Y46:Y139="gggg",$N$46:$N$139,""))+SUM(IF(Y46:Y139="hhhh",$N$46:$N$139,""))+SUM(IF(Y46:Y139="iiii",$N$46:$N$139,""))+SUM(IF(Y46:Y139="jjjj",$N$46:$N$139,""))+SUM(IF(Y46:Y139="kkkk",$N$46:$N$139,""))+SUM(IF(Y46:Y139="llll",$N$46:$N$139,""))+SUM(IF(Y46:Y139="mmmm",$N$46:$N$139,""))+SUM(IF(Y46:Y139="nnnn",$N$46:$N$139,""))+SUM(IF(Y46:Y139="oooo",$N$46:$N$139,""))+SUM(IF(Y46:Y139="pppp",$N$46:$N$139,""))</f>
        <v>0</v>
      </c>
      <c r="Z145" s="54">
        <f t="array" ref="Z145">SUM(IF(Z46:Z139="aaaa",$N$46:$N$139,""))+SUM(IF(Z46:Z139="bbbb",$N$46:$N$139,""))+SUM(IF(Z46:Z139="cccc",$N$46:$N$139,""))+SUM(IF(Z46:Z139="dddd",$N$46:$N$139,""))+SUM(IF(Z46:Z139="eeee",$N$46:$N$139,""))+SUM(IF(Z46:Z139="ffff",$N$46:$N$139,""))+SUM(IF(Z46:Z139="gggg",$N$46:$N$139,""))+SUM(IF(Z46:Z139="hhhh",$N$46:$N$139,""))+SUM(IF(Z46:Z139="iiii",$N$46:$N$139,""))+SUM(IF(Z46:Z139="jjjj",$N$46:$N$139,""))+SUM(IF(Z46:Z139="kkkk",$N$46:$N$139,""))+SUM(IF(Z46:Z139="llll",$N$46:$N$139,""))+SUM(IF(Z46:Z139="mmmm",$N$46:$N$139,""))+SUM(IF(Z46:Z139="nnnn",$N$46:$N$139,""))+SUM(IF(Z46:Z139="oooo",$N$46:$N$139,""))+SUM(IF(Z46:Z139="pppp",$N$46:$N$139,""))</f>
        <v>0</v>
      </c>
      <c r="AA145" s="54">
        <f t="array" ref="AA145">SUM(IF(AA46:AA139="aaaa",$N$46:$N$139,""))+SUM(IF(AA46:AA139="bbbb",$N$46:$N$139,""))+SUM(IF(AA46:AA139="cccc",$N$46:$N$139,""))+SUM(IF(AA46:AA139="dddd",$N$46:$N$139,""))+SUM(IF(AA46:AA139="eeee",$N$46:$N$139,""))+SUM(IF(AA46:AA139="ffff",$N$46:$N$139,""))+SUM(IF(AA46:AA139="gggg",$N$46:$N$139,""))+SUM(IF(AA46:AA139="hhhh",$N$46:$N$139,""))+SUM(IF(AA46:AA139="iiii",$N$46:$N$139,""))+SUM(IF(AA46:AA139="jjjj",$N$46:$N$139,""))+SUM(IF(AA46:AA139="kkkk",$N$46:$N$139,""))+SUM(IF(AA46:AA139="llll",$N$46:$N$139,""))+SUM(IF(AA46:AA139="mmmm",$N$46:$N$139,""))+SUM(IF(AA46:AA139="nnnn",$N$46:$N$139,""))+SUM(IF(AA46:AA139="oooo",$N$46:$N$139,""))+SUM(IF(AA46:AA139="pppp",$N$46:$N$139,""))</f>
        <v>0</v>
      </c>
      <c r="AB145" s="54">
        <f t="array" ref="AB145">SUM(IF(AB46:AB139="aaaa",$N$46:$N$139,""))+SUM(IF(AB46:AB139="bbbb",$N$46:$N$139,""))+SUM(IF(AB46:AB139="cccc",$N$46:$N$139,""))+SUM(IF(AB46:AB139="dddd",$N$46:$N$139,""))+SUM(IF(AB46:AB139="eeee",$N$46:$N$139,""))+SUM(IF(AB46:AB139="ffff",$N$46:$N$139,""))+SUM(IF(AB46:AB139="gggg",$N$46:$N$139,""))+SUM(IF(AB46:AB139="hhhh",$N$46:$N$139,""))+SUM(IF(AB46:AB139="iiii",$N$46:$N$139,""))+SUM(IF(AB46:AB139="jjjj",$N$46:$N$139,""))+SUM(IF(AB46:AB139="kkkk",$N$46:$N$139,""))+SUM(IF(AB46:AB139="llll",$N$46:$N$139,""))+SUM(IF(AB46:AB139="mmmm",$N$46:$N$139,""))+SUM(IF(AB46:AB139="nnnn",$N$46:$N$139,""))+SUM(IF(AB46:AB139="oooo",$N$46:$N$139,""))+SUM(IF(AB46:AB139="pppp",$N$46:$N$139,""))</f>
        <v>0</v>
      </c>
      <c r="AC145" s="54">
        <f t="array" ref="AC145">SUM(IF(AC46:AC139="aaaa",$N$46:$N$139,""))+SUM(IF(AC46:AC139="bbbb",$N$46:$N$139,""))+SUM(IF(AC46:AC139="cccc",$N$46:$N$139,""))+SUM(IF(AC46:AC139="dddd",$N$46:$N$139,""))+SUM(IF(AC46:AC139="eeee",$N$46:$N$139,""))+SUM(IF(AC46:AC139="ffff",$N$46:$N$139,""))+SUM(IF(AC46:AC139="gggg",$N$46:$N$139,""))+SUM(IF(AC46:AC139="hhhh",$N$46:$N$139,""))+SUM(IF(AC46:AC139="iiii",$N$46:$N$139,""))+SUM(IF(AC46:AC139="jjjj",$N$46:$N$139,""))+SUM(IF(AC46:AC139="kkkk",$N$46:$N$139,""))+SUM(IF(AC46:AC139="llll",$N$46:$N$139,""))+SUM(IF(AC46:AC139="mmmm",$N$46:$N$139,""))+SUM(IF(AC46:AC139="nnnn",$N$46:$N$139,""))+SUM(IF(AC46:AC139="oooo",$N$46:$N$139,""))+SUM(IF(AC46:AC139="pppp",$N$46:$N$139,""))+SUM(IF(AC46:AC139="qqqq",$N$46:$N$139,""))+SUM(IF(AC46:AC139="rrrr",$N$46:$N$139,""))+SUM(IF(AC46:AC139="ssss",$N$46:$N$139,""))+SUM(IF(AC46:AC139="tttt",$N$46:$N$139,""))+SUM(IF(AC46:AC139="uuuu",$N$46:$N$139,""))+SUM(IF(AC46:AC139="vvvv",$N$46:$N$139,""))+SUM(IF(AC46:AC139="wwww",$N$46:$N$139,""))</f>
        <v>0</v>
      </c>
      <c r="AD145" t="s">
        <v>267</v>
      </c>
      <c r="AO145" t="s">
        <v>810</v>
      </c>
    </row>
    <row r="146" spans="20:41" ht="24" hidden="1" customHeight="1" x14ac:dyDescent="0.15">
      <c r="T146" s="111">
        <f t="shared" ref="T146:AC146" si="7">SUM(T142:T145)</f>
        <v>0</v>
      </c>
      <c r="U146" s="111">
        <f t="shared" si="7"/>
        <v>0</v>
      </c>
      <c r="V146" s="111">
        <f t="shared" si="7"/>
        <v>0</v>
      </c>
      <c r="W146" s="111">
        <f t="shared" si="7"/>
        <v>0</v>
      </c>
      <c r="X146" s="111">
        <f t="shared" si="7"/>
        <v>0</v>
      </c>
      <c r="Y146" s="111">
        <f t="shared" si="7"/>
        <v>0</v>
      </c>
      <c r="Z146" s="111">
        <f t="shared" si="7"/>
        <v>0</v>
      </c>
      <c r="AA146" s="111">
        <f t="shared" si="7"/>
        <v>0</v>
      </c>
      <c r="AB146" s="111">
        <f t="shared" si="7"/>
        <v>0</v>
      </c>
      <c r="AC146" s="111">
        <f t="shared" si="7"/>
        <v>0</v>
      </c>
      <c r="AD146" s="2" t="s">
        <v>7</v>
      </c>
      <c r="AO146" t="s">
        <v>7</v>
      </c>
    </row>
    <row r="147" spans="20:41" ht="24" hidden="1" customHeight="1" x14ac:dyDescent="0.15"/>
    <row r="148" spans="20:41" ht="24" hidden="1" customHeight="1" x14ac:dyDescent="0.15">
      <c r="T148" s="54">
        <f t="array" ref="T148">SUM(IF(T46:T139="a",$O$46:$O$139,""))+SUM(IF(T46:T139="b",$O$46:$O$139,""))+SUM(IF(T46:T139="c",$O$46:$O$139,""))+SUM(IF(T46:T139="d",$O$46:$O$139,""))+SUM(IF(T46:T139="e",$O$46:$O$139,""))+SUM(IF(T46:T139="f",$O$46:$O$139,""))+SUM(IF(T46:T139="g",$O$46:$O$139,""))+SUM(IF(T46:T139="h",$O$46:$O$139,""))+SUM(IF(T46:T139="i",$O$46:$O$139,""))+SUM(IF(T46:T139="j",$O$46:$O$139,""))+SUM(IF(T46:T139="k",$O$46:$O$139,""))+SUM(IF(T46:T139="l",$O$46:$O$139,""))+SUM(IF(T46:T139="m",$O$46:$O$139,""))+SUM(IF(T46:T139="n",$O$46:$O$139,""))+SUM(IF(T46:T139="o",$O$46:$O$139,""))+SUM(IF(T46:T139="p",$O$46:$O$139,""))+SUM(IF(T46:T139="q",$O$46:$O$139,""))+SUM(IF(T46:T139="r",$O$46:$O$139,""))+SUM(IF(T46:T139="s",$O$46:$O$139,""))+SUM(IF(T46:T139="t",$O$46:$O$139,""))+SUM(IF(T46:T139="u",$O$46:$O$139,""))+SUM(IF(T46:T139="v",$O$46:$O$139,""))+SUM(IF(T46:T139="w",$O$46:$O$139,""))+SUM(IF(T46:T139="x",$O$46:$O$139,""))+SUM(IF(T46:T139="y",$O$46:$O$139,""))+SUM(IF(T46:T139="z",$O$46:$O$139,""))</f>
        <v>0</v>
      </c>
      <c r="U148" s="54">
        <f t="array" ref="U148">SUM(IF(U46:U139="a",$O$46:$O$139,""))+SUM(IF(U46:U139="b",$O$46:$O$139,""))+SUM(IF(U46:U139="c",$O$46:$O$139,""))+SUM(IF(U46:U139="d",$O$46:$O$139,""))+SUM(IF(U46:U139="e",$O$46:$O$139,""))+SUM(IF(U46:U139="f",$O$46:$O$139,""))+SUM(IF(U46:U139="g",$O$46:$O$139,""))+SUM(IF(U46:U139="h",$O$46:$O$139,""))+SUM(IF(U46:U139="i",$O$46:$O$139,""))+SUM(IF(U46:U139="j",$O$46:$O$139,""))+SUM(IF(U46:U139="k",$O$46:$O$139,""))+SUM(IF(U46:U139="l",$O$46:$O$139,""))+SUM(IF(U46:U139="m",$O$46:$O$139,""))+SUM(IF(U46:U139="n",$O$46:$O$139,""))+SUM(IF(U46:U139="o",$O$46:$O$139,""))+SUM(IF(U46:U139="p",$O$46:$O$139,""))+SUM(IF(U46:U139="q",$O$46:$O$139,""))+SUM(IF(U46:U139="r",$O$46:$O$139,""))+SUM(IF(U46:U139="s",$O$46:$O$139,""))+SUM(IF(U46:U139="t",$O$46:$O$139,""))+SUM(IF(U46:U139="u",$O$46:$O$139,""))+SUM(IF(U46:U139="v",$O$46:$O$139,""))+SUM(IF(U46:U139="w",$O$46:$O$139,""))+SUM(IF(U46:U139="x",$O$46:$O$139,""))+SUM(IF(U46:U139="y",$O$46:$O$139,""))+SUM(IF(U46:U139="z",$O$46:$O$139,""))</f>
        <v>0</v>
      </c>
      <c r="V148" s="54">
        <f t="array" ref="V148">SUM(IF(V46:V139="a",$O$46:$O$139,""))+SUM(IF(V46:V139="b",$O$46:$O$139,""))+SUM(IF(V46:V139="c",$O$46:$O$139,""))+SUM(IF(V46:V139="d",$O$46:$O$139,""))+SUM(IF(V46:V139="e",$O$46:$O$139,""))+SUM(IF(V46:V139="f",$O$46:$O$139,""))+SUM(IF(V46:V139="g",$O$46:$O$139,""))+SUM(IF(V46:V139="h",$O$46:$O$139,""))+SUM(IF(V46:V139="i",$O$46:$O$139,""))+SUM(IF(V46:V139="j",$O$46:$O$139,""))+SUM(IF(V46:V139="k",$O$46:$O$139,""))+SUM(IF(V46:V139="l",$O$46:$O$139,""))+SUM(IF(V46:V139="m",$O$46:$O$139,""))+SUM(IF(V46:V139="n",$O$46:$O$139,""))+SUM(IF(V46:V139="o",$O$46:$O$139,""))+SUM(IF(V46:V139="p",$O$46:$O$139,""))+SUM(IF(V46:V139="q",$O$46:$O$139,""))+SUM(IF(V46:V139="r",$O$46:$O$139,""))+SUM(IF(V46:V139="s",$O$46:$O$139,""))+SUM(IF(V46:V139="t",$O$46:$O$139,""))+SUM(IF(V46:V139="u",$O$46:$O$139,""))+SUM(IF(V46:V139="v",$O$46:$O$139,""))+SUM(IF(V46:V139="w",$O$46:$O$139,""))+SUM(IF(V46:V139="x",$O$46:$O$139,""))+SUM(IF(V46:V139="y",$O$46:$O$139,""))+SUM(IF(V46:V139="z",$O$46:$O$139,""))</f>
        <v>0</v>
      </c>
      <c r="W148" s="54">
        <f t="array" ref="W148">SUM(IF(W46:W139="a",$O$46:$O$139,""))+SUM(IF(W46:W139="b",$O$46:$O$139,""))+SUM(IF(W46:W139="c",$O$46:$O$139,""))+SUM(IF(W46:W139="d",$O$46:$O$139,""))+SUM(IF(W46:W139="e",$O$46:$O$139,""))+SUM(IF(W46:W139="f",$O$46:$O$139,""))+SUM(IF(W46:W139="g",$O$46:$O$139,""))+SUM(IF(W46:W139="h",$O$46:$O$139,""))+SUM(IF(W46:W139="i",$O$46:$O$139,""))+SUM(IF(W46:W139="j",$O$46:$O$139,""))+SUM(IF(W46:W139="k",$O$46:$O$139,""))+SUM(IF(W46:W139="l",$O$46:$O$139,""))+SUM(IF(W46:W139="m",$O$46:$O$139,""))+SUM(IF(W46:W139="n",$O$46:$O$139,""))+SUM(IF(W46:W139="o",$O$46:$O$139,""))+SUM(IF(W46:W139="p",$O$46:$O$139,""))+SUM(IF(W46:W139="q",$O$46:$O$139,""))+SUM(IF(W46:W139="r",$O$46:$O$139,""))+SUM(IF(W46:W139="s",$O$46:$O$139,""))+SUM(IF(W46:W139="t",$O$46:$O$139,""))+SUM(IF(W46:W139="u",$O$46:$O$139,""))+SUM(IF(W46:W139="v",$O$46:$O$139,""))+SUM(IF(W46:W139="w",$O$46:$O$139,""))+SUM(IF(W46:W139="x",$O$46:$O$139,""))+SUM(IF(W46:W139="y",$O$46:$O$139,""))+SUM(IF(W46:W139="z",$O$46:$O$139,""))</f>
        <v>0</v>
      </c>
      <c r="X148" s="54">
        <f t="array" ref="X148">SUM(IF(X46:X139="a",$O$46:$O$139,""))+SUM(IF(X46:X139="b",$O$46:$O$139,""))+SUM(IF(X46:X139="c",$O$46:$O$139,""))+SUM(IF(X46:X139="d",$O$46:$O$139,""))+SUM(IF(X46:X139="e",$O$46:$O$139,""))+SUM(IF(X46:X139="f",$O$46:$O$139,""))+SUM(IF(X46:X139="g",$O$46:$O$139,""))+SUM(IF(X46:X139="h",$O$46:$O$139,""))+SUM(IF(X46:X139="i",$O$46:$O$139,""))+SUM(IF(X46:X139="j",$O$46:$O$139,""))+SUM(IF(X46:X139="k",$O$46:$O$139,""))+SUM(IF(X46:X139="l",$O$46:$O$139,""))+SUM(IF(X46:X139="m",$O$46:$O$139,""))+SUM(IF(X46:X139="n",$O$46:$O$139,""))+SUM(IF(X46:X139="o",$O$46:$O$139,""))+SUM(IF(X46:X139="p",$O$46:$O$139,""))+SUM(IF(X46:X139="q",$O$46:$O$139,""))+SUM(IF(X46:X139="r",$O$46:$O$139,""))+SUM(IF(X46:X139="s",$O$46:$O$139,""))+SUM(IF(X46:X139="t",$O$46:$O$139,""))+SUM(IF(X46:X139="u",$O$46:$O$139,""))+SUM(IF(X46:X139="v",$O$46:$O$139,""))+SUM(IF(X46:X139="w",$O$46:$O$139,""))+SUM(IF(X46:X139="x",$O$46:$O$139,""))+SUM(IF(X46:X139="y",$O$46:$O$139,""))+SUM(IF(X46:X139="z",$O$46:$O$139,""))</f>
        <v>0</v>
      </c>
      <c r="Y148" s="54">
        <f t="array" ref="Y148">SUM(IF(Y46:Y139="a",$O$46:$O$139,""))+SUM(IF(Y46:Y139="b",$O$46:$O$139,""))+SUM(IF(Y46:Y139="c",$O$46:$O$139,""))+SUM(IF(Y46:Y139="d",$O$46:$O$139,""))+SUM(IF(Y46:Y139="e",$O$46:$O$139,""))+SUM(IF(Y46:Y139="f",$O$46:$O$139,""))+SUM(IF(Y46:Y139="g",$O$46:$O$139,""))+SUM(IF(Y46:Y139="h",$O$46:$O$139,""))+SUM(IF(Y46:Y139="i",$O$46:$O$139,""))+SUM(IF(Y46:Y139="j",$O$46:$O$139,""))+SUM(IF(Y46:Y139="k",$O$46:$O$139,""))+SUM(IF(Y46:Y139="l",$O$46:$O$139,""))+SUM(IF(Y46:Y139="m",$O$46:$O$139,""))+SUM(IF(Y46:Y139="n",$O$46:$O$139,""))+SUM(IF(Y46:Y139="o",$O$46:$O$139,""))+SUM(IF(Y46:Y139="p",$O$46:$O$139,""))+SUM(IF(Y46:Y139="q",$O$46:$O$139,""))+SUM(IF(Y46:Y139="r",$O$46:$O$139,""))+SUM(IF(Y46:Y139="s",$O$46:$O$139,""))+SUM(IF(Y46:Y139="t",$O$46:$O$139,""))+SUM(IF(Y46:Y139="u",$O$46:$O$139,""))+SUM(IF(Y46:Y139="v",$O$46:$O$139,""))+SUM(IF(Y46:Y139="w",$O$46:$O$139,""))+SUM(IF(Y46:Y139="x",$O$46:$O$139,""))+SUM(IF(Y46:Y139="y",$O$46:$O$139,""))+SUM(IF(Y46:Y139="z",$O$46:$O$139,""))</f>
        <v>0</v>
      </c>
      <c r="Z148" s="54">
        <f t="array" ref="Z148">SUM(IF(Z46:Z139="a",$O$46:$O$139,""))+SUM(IF(Z46:Z139="b",$O$46:$O$139,""))+SUM(IF(Z46:Z139="c",$O$46:$O$139,""))+SUM(IF(Z46:Z139="d",$O$46:$O$139,""))+SUM(IF(Z46:Z139="e",$O$46:$O$139,""))+SUM(IF(Z46:Z139="f",$O$46:$O$139,""))+SUM(IF(Z46:Z139="g",$O$46:$O$139,""))+SUM(IF(Z46:Z139="h",$O$46:$O$139,""))+SUM(IF(Z46:Z139="i",$O$46:$O$139,""))+SUM(IF(Z46:Z139="j",$O$46:$O$139,""))+SUM(IF(Z46:Z139="k",$O$46:$O$139,""))+SUM(IF(Z46:Z139="l",$O$46:$O$139,""))+SUM(IF(Z46:Z139="m",$O$46:$O$139,""))+SUM(IF(Z46:Z139="n",$O$46:$O$139,""))+SUM(IF(Z46:Z139="o",$O$46:$O$139,""))+SUM(IF(Z46:Z139="p",$O$46:$O$139,""))+SUM(IF(Z46:Z139="q",$O$46:$O$139,""))+SUM(IF(Z46:Z139="r",$O$46:$O$139,""))+SUM(IF(Z46:Z139="s",$O$46:$O$139,""))+SUM(IF(Z46:Z139="t",$O$46:$O$139,""))+SUM(IF(Z46:Z139="u",$O$46:$O$139,""))+SUM(IF(Z46:Z139="v",$O$46:$O$139,""))+SUM(IF(Z46:Z139="w",$O$46:$O$139,""))+SUM(IF(Z46:Z139="x",$O$46:$O$139,""))+SUM(IF(Z46:Z139="y",$O$46:$O$139,""))+SUM(IF(Z46:Z139="z",$O$46:$O$139,""))</f>
        <v>0</v>
      </c>
      <c r="AA148" s="54">
        <f t="array" ref="AA148">SUM(IF(AA46:AA139="a",$O$46:$O$139,""))+SUM(IF(AA46:AA139="b",$O$46:$O$139,""))+SUM(IF(AA46:AA139="c",$O$46:$O$139,""))+SUM(IF(AA46:AA139="d",$O$46:$O$139,""))+SUM(IF(AA46:AA139="e",$O$46:$O$139,""))+SUM(IF(AA46:AA139="f",$O$46:$O$139,""))+SUM(IF(AA46:AA139="g",$O$46:$O$139,""))+SUM(IF(AA46:AA139="h",$O$46:$O$139,""))+SUM(IF(AA46:AA139="i",$O$46:$O$139,""))+SUM(IF(AA46:AA139="j",$O$46:$O$139,""))+SUM(IF(AA46:AA139="k",$O$46:$O$139,""))+SUM(IF(AA46:AA139="l",$O$46:$O$139,""))+SUM(IF(AA46:AA139="m",$O$46:$O$139,""))+SUM(IF(AA46:AA139="n",$O$46:$O$139,""))+SUM(IF(AA46:AA139="o",$O$46:$O$139,""))+SUM(IF(AA46:AA139="p",$O$46:$O$139,""))+SUM(IF(AA46:AA139="q",$O$46:$O$139,""))+SUM(IF(AA46:AA139="r",$O$46:$O$139,""))+SUM(IF(AA46:AA139="s",$O$46:$O$139,""))+SUM(IF(AA46:AA139="t",$O$46:$O$139,""))+SUM(IF(AA46:AA139="u",$O$46:$O$139,""))+SUM(IF(AA46:AA139="v",$O$46:$O$139,""))+SUM(IF(AA46:AA139="w",$O$46:$O$139,""))+SUM(IF(AA46:AA139="x",$O$46:$O$139,""))+SUM(IF(AA46:AA139="y",$O$46:$O$139,""))+SUM(IF(AA46:AA139="z",$O$46:$O$139,""))</f>
        <v>0</v>
      </c>
      <c r="AB148" s="54">
        <f t="array" ref="AB148">SUM(IF(AB46:AB139="a",$O$46:$O$139,""))+SUM(IF(AB46:AB139="b",$O$46:$O$139,""))+SUM(IF(AB46:AB139="c",$O$46:$O$139,""))+SUM(IF(AB46:AB139="d",$O$46:$O$139,""))+SUM(IF(AB46:AB139="e",$O$46:$O$139,""))+SUM(IF(AB46:AB139="f",$O$46:$O$139,""))+SUM(IF(AB46:AB139="g",$O$46:$O$139,""))+SUM(IF(AB46:AB139="h",$O$46:$O$139,""))+SUM(IF(AB46:AB139="i",$O$46:$O$139,""))+SUM(IF(AB46:AB139="j",$O$46:$O$139,""))+SUM(IF(AB46:AB139="k",$O$46:$O$139,""))+SUM(IF(AB46:AB139="l",$O$46:$O$139,""))+SUM(IF(AB46:AB139="m",$O$46:$O$139,""))+SUM(IF(AB46:AB139="n",$O$46:$O$139,""))+SUM(IF(AB46:AB139="o",$O$46:$O$139,""))+SUM(IF(AB46:AB139="p",$O$46:$O$139,""))+SUM(IF(AB46:AB139="q",$O$46:$O$139,""))+SUM(IF(AB46:AB139="r",$O$46:$O$139,""))+SUM(IF(AB46:AB139="s",$O$46:$O$139,""))+SUM(IF(AB46:AB139="t",$O$46:$O$139,""))+SUM(IF(AB46:AB139="u",$O$46:$O$139,""))+SUM(IF(AB46:AB139="v",$O$46:$O$139,""))+SUM(IF(AB46:AB139="w",$O$46:$O$139,""))+SUM(IF(AB46:AB139="x",$O$46:$O$139,""))+SUM(IF(AB46:AB139="y",$O$46:$O$139,""))+SUM(IF(AB46:AB139="z",$O$46:$O$139,""))</f>
        <v>0</v>
      </c>
      <c r="AC148" s="54">
        <f t="array" ref="AC148">SUM(IF(AC46:AC139="a",$O$46:$O$139,""))+SUM(IF(AC46:AC139="b",$O$46:$O$139,""))+SUM(IF(AC46:AC139="c",$O$46:$O$139,""))+SUM(IF(AC46:AC139="d",$O$46:$O$139,""))+SUM(IF(AC46:AC139="e",$O$46:$O$139,""))+SUM(IF(AC46:AC139="f",$O$46:$O$139,""))+SUM(IF(AC46:AC139="g",$O$46:$O$139,""))+SUM(IF(AC46:AC139="h",$O$46:$O$139,""))+SUM(IF(AC46:AC139="i",$O$46:$O$139,""))+SUM(IF(AC46:AC139="j",$O$46:$O$139,""))+SUM(IF(AC46:AC139="k",$O$46:$O$139,""))+SUM(IF(AC46:AC139="l",$O$46:$O$139,""))+SUM(IF(AC46:AC139="m",$O$46:$O$139,""))+SUM(IF(AC46:AC139="n",$O$46:$O$139,""))+SUM(IF(AC46:AC139="o",$O$46:$O$139,""))+SUM(IF(AC46:AC139="p",$O$46:$O$139,""))+SUM(IF(AC46:AC139="q",$O$46:$O$139,""))+SUM(IF(AC46:AC139="r",$O$46:$O$139,""))+SUM(IF(AC46:AC139="s",$O$46:$O$139,""))+SUM(IF(AC46:AC139="t",$O$46:$O$139,""))+SUM(IF(AC46:AC139="u",$O$46:$O$139,""))+SUM(IF(AC46:AC139="v",$O$46:$O$139,""))+SUM(IF(AC46:AC139="w",$O$46:$O$139,""))+SUM(IF(AC46:AC139="x",$O$46:$O$139,""))+SUM(IF(AC46:AC139="y",$O$46:$O$139,""))+SUM(IF(AC46:AC139="z",$O$46:$O$139,""))</f>
        <v>0</v>
      </c>
      <c r="AD148" t="s">
        <v>256</v>
      </c>
      <c r="AO148" t="s">
        <v>812</v>
      </c>
    </row>
    <row r="149" spans="20:41" ht="24" hidden="1" customHeight="1" x14ac:dyDescent="0.15">
      <c r="T149" s="54">
        <f t="array" ref="T149">SUM(IF(T46:T139="aa",$O$46:$O$139,""))+SUM(IF(T46:T139="bb",$O$46:$O$139,""))+SUM(IF(T46:T139="cc",$O$46:$O$139,""))+SUM(IF(T46:T139="dd",$O$46:$O$139,""))+SUM(IF(T46:T139="ee",$O$46:$O$139,""))+SUM(IF(T46:T139="ff",$O$46:$O$139,""))+SUM(IF(T46:T139="gg",$O$46:$O$139,""))+SUM(IF(T46:T139="hh",$O$46:$O$139,""))+SUM(IF(T46:T139="ii",$O$46:$O$139,""))+SUM(IF(T46:T139="jj",$O$46:$O$139,""))+SUM(IF(T46:T139="kk",$O$46:$O$139,""))+SUM(IF(T46:T139="ll",$O$46:$O$139,""))+SUM(IF(T46:T139="mm",$O$46:$O$139,""))+SUM(IF(T46:T139="nn",$O$46:$O$139,""))+SUM(IF(T46:T139="oo",$O$46:$O$139,""))+SUM(IF(T46:T139="pp",$O$46:$O$139,""))+SUM(IF(T46:T139="qq",$O$46:$O$139,""))+SUM(IF(T46:T139="rr",$O$46:$O$139,""))+SUM(IF(T46:T139="ss",$O$46:$O$139,""))+SUM(IF(T46:T139="tt",$O$46:$O$139,""))+SUM(IF(T46:T139="uu",$O$46:$O$139,""))+SUM(IF(T46:T139="vv",$O$46:$O$139,""))+SUM(IF(T46:T139="ww",$O$46:$O$139,""))+SUM(IF(T46:T139="xx",$O$46:$O$139,""))+SUM(IF(T46:T139="yy",$O$46:$O$139,""))+SUM(IF(T46:T139="zz",$O$46:$O$139,""))</f>
        <v>0</v>
      </c>
      <c r="U149" s="54">
        <f t="array" ref="U149">SUM(IF(U46:U139="aa",$O$46:$O$139,""))+SUM(IF(U46:U139="bb",$O$46:$O$139,""))+SUM(IF(U46:U139="cc",$O$46:$O$139,""))+SUM(IF(U46:U139="dd",$O$46:$O$139,""))+SUM(IF(U46:U139="ee",$O$46:$O$139,""))+SUM(IF(U46:U139="ff",$O$46:$O$139,""))+SUM(IF(U46:U139="gg",$O$46:$O$139,""))+SUM(IF(U46:U139="hh",$O$46:$O$139,""))+SUM(IF(U46:U139="ii",$O$46:$O$139,""))+SUM(IF(U46:U139="jj",$O$46:$O$139,""))+SUM(IF(U46:U139="kk",$O$46:$O$139,""))+SUM(IF(U46:U139="ll",$O$46:$O$139,""))+SUM(IF(U46:U139="mm",$O$46:$O$139,""))+SUM(IF(U46:U139="nn",$O$46:$O$139,""))+SUM(IF(U46:U139="oo",$O$46:$O$139,""))+SUM(IF(U46:U139="pp",$O$46:$O$139,""))+SUM(IF(U46:U139="qq",$O$46:$O$139,""))+SUM(IF(U46:U139="rr",$O$46:$O$139,""))+SUM(IF(U46:U139="ss",$O$46:$O$139,""))+SUM(IF(U46:U139="tt",$O$46:$O$139,""))+SUM(IF(U46:U139="uu",$O$46:$O$139,""))+SUM(IF(U46:U139="vv",$O$46:$O$139,""))+SUM(IF(U46:U139="ww",$O$46:$O$139,""))+SUM(IF(U46:U139="xx",$O$46:$O$139,""))+SUM(IF(U46:U139="yy",$O$46:$O$139,""))+SUM(IF(U46:U139="zz",$O$46:$O$139,""))</f>
        <v>0</v>
      </c>
      <c r="V149" s="54">
        <f t="array" ref="V149">SUM(IF(V46:V139="aa",$O$46:$O$139,""))+SUM(IF(V46:V139="bb",$O$46:$O$139,""))+SUM(IF(V46:V139="cc",$O$46:$O$139,""))+SUM(IF(V46:V139="dd",$O$46:$O$139,""))+SUM(IF(V46:V139="ee",$O$46:$O$139,""))+SUM(IF(V46:V139="ff",$O$46:$O$139,""))+SUM(IF(V46:V139="gg",$O$46:$O$139,""))+SUM(IF(V46:V139="hh",$O$46:$O$139,""))+SUM(IF(V46:V139="ii",$O$46:$O$139,""))+SUM(IF(V46:V139="jj",$O$46:$O$139,""))+SUM(IF(V46:V139="kk",$O$46:$O$139,""))+SUM(IF(V46:V139="ll",$O$46:$O$139,""))+SUM(IF(V46:V139="mm",$O$46:$O$139,""))+SUM(IF(V46:V139="nn",$O$46:$O$139,""))+SUM(IF(V46:V139="oo",$O$46:$O$139,""))+SUM(IF(V46:V139="pp",$O$46:$O$139,""))+SUM(IF(V46:V139="qq",$O$46:$O$139,""))+SUM(IF(V46:V139="rr",$O$46:$O$139,""))+SUM(IF(V46:V139="ss",$O$46:$O$139,""))+SUM(IF(V46:V139="tt",$O$46:$O$139,""))+SUM(IF(V46:V139="uu",$O$46:$O$139,""))+SUM(IF(V46:V139="vv",$O$46:$O$139,""))+SUM(IF(V46:V139="ww",$O$46:$O$139,""))+SUM(IF(V46:V139="xx",$O$46:$O$139,""))+SUM(IF(V46:V139="yy",$O$46:$O$139,""))+SUM(IF(V46:V139="zz",$O$46:$O$139,""))</f>
        <v>0</v>
      </c>
      <c r="W149" s="54">
        <f t="array" ref="W149">SUM(IF(W46:W139="aa",$O$46:$O$139,""))+SUM(IF(W46:W139="bb",$O$46:$O$139,""))+SUM(IF(W46:W139="cc",$O$46:$O$139,""))+SUM(IF(W46:W139="dd",$O$46:$O$139,""))+SUM(IF(W46:W139="ee",$O$46:$O$139,""))+SUM(IF(W46:W139="ff",$O$46:$O$139,""))+SUM(IF(W46:W139="gg",$O$46:$O$139,""))+SUM(IF(W46:W139="hh",$O$46:$O$139,""))+SUM(IF(W46:W139="ii",$O$46:$O$139,""))+SUM(IF(W46:W139="jj",$O$46:$O$139,""))+SUM(IF(W46:W139="kk",$O$46:$O$139,""))+SUM(IF(W46:W139="ll",$O$46:$O$139,""))+SUM(IF(W46:W139="mm",$O$46:$O$139,""))+SUM(IF(W46:W139="nn",$O$46:$O$139,""))+SUM(IF(W46:W139="oo",$O$46:$O$139,""))+SUM(IF(W46:W139="pp",$O$46:$O$139,""))+SUM(IF(W46:W139="qq",$O$46:$O$139,""))+SUM(IF(W46:W139="rr",$O$46:$O$139,""))+SUM(IF(W46:W139="ss",$O$46:$O$139,""))+SUM(IF(W46:W139="tt",$O$46:$O$139,""))+SUM(IF(W46:W139="uu",$O$46:$O$139,""))+SUM(IF(W46:W139="vv",$O$46:$O$139,""))+SUM(IF(W46:W139="ww",$O$46:$O$139,""))+SUM(IF(W46:W139="xx",$O$46:$O$139,""))+SUM(IF(W46:W139="yy",$O$46:$O$139,""))+SUM(IF(W46:W139="zz",$O$46:$O$139,""))</f>
        <v>0</v>
      </c>
      <c r="X149" s="54">
        <f t="array" ref="X149">SUM(IF(X46:X139="aa",$O$46:$O$139,""))+SUM(IF(X46:X139="bb",$O$46:$O$139,""))+SUM(IF(X46:X139="cc",$O$46:$O$139,""))+SUM(IF(X46:X139="dd",$O$46:$O$139,""))+SUM(IF(X46:X139="ee",$O$46:$O$139,""))+SUM(IF(X46:X139="ff",$O$46:$O$139,""))+SUM(IF(X46:X139="gg",$O$46:$O$139,""))+SUM(IF(X46:X139="hh",$O$46:$O$139,""))+SUM(IF(X46:X139="ii",$O$46:$O$139,""))+SUM(IF(X46:X139="jj",$O$46:$O$139,""))+SUM(IF(X46:X139="kk",$O$46:$O$139,""))+SUM(IF(X46:X139="ll",$O$46:$O$139,""))+SUM(IF(X46:X139="mm",$O$46:$O$139,""))+SUM(IF(X46:X139="nn",$O$46:$O$139,""))+SUM(IF(X46:X139="oo",$O$46:$O$139,""))+SUM(IF(X46:X139="pp",$O$46:$O$139,""))+SUM(IF(X46:X139="qq",$O$46:$O$139,""))+SUM(IF(X46:X139="rr",$O$46:$O$139,""))+SUM(IF(X46:X139="ss",$O$46:$O$139,""))+SUM(IF(X46:X139="tt",$O$46:$O$139,""))+SUM(IF(X46:X139="uu",$O$46:$O$139,""))+SUM(IF(X46:X139="vv",$O$46:$O$139,""))+SUM(IF(X46:X139="ww",$O$46:$O$139,""))+SUM(IF(X46:X139="xx",$O$46:$O$139,""))+SUM(IF(X46:X139="yy",$O$46:$O$139,""))+SUM(IF(X46:X139="zz",$O$46:$O$139,""))</f>
        <v>0</v>
      </c>
      <c r="Y149" s="54">
        <f t="array" ref="Y149">SUM(IF(Y46:Y139="aa",$O$46:$O$139,""))+SUM(IF(Y46:Y139="bb",$O$46:$O$139,""))+SUM(IF(Y46:Y139="cc",$O$46:$O$139,""))+SUM(IF(Y46:Y139="dd",$O$46:$O$139,""))+SUM(IF(Y46:Y139="ee",$O$46:$O$139,""))+SUM(IF(Y46:Y139="ff",$O$46:$O$139,""))+SUM(IF(Y46:Y139="gg",$O$46:$O$139,""))+SUM(IF(Y46:Y139="hh",$O$46:$O$139,""))+SUM(IF(Y46:Y139="ii",$O$46:$O$139,""))+SUM(IF(Y46:Y139="jj",$O$46:$O$139,""))+SUM(IF(Y46:Y139="kk",$O$46:$O$139,""))+SUM(IF(Y46:Y139="ll",$O$46:$O$139,""))+SUM(IF(Y46:Y139="mm",$O$46:$O$139,""))+SUM(IF(Y46:Y139="nn",$O$46:$O$139,""))+SUM(IF(Y46:Y139="oo",$O$46:$O$139,""))+SUM(IF(Y46:Y139="pp",$O$46:$O$139,""))+SUM(IF(Y46:Y139="qq",$O$46:$O$139,""))+SUM(IF(Y46:Y139="rr",$O$46:$O$139,""))+SUM(IF(Y46:Y139="ss",$O$46:$O$139,""))+SUM(IF(Y46:Y139="tt",$O$46:$O$139,""))+SUM(IF(Y46:Y139="uu",$O$46:$O$139,""))+SUM(IF(Y46:Y139="vv",$O$46:$O$139,""))+SUM(IF(Y46:Y139="ww",$O$46:$O$139,""))+SUM(IF(Y46:Y139="xx",$O$46:$O$139,""))+SUM(IF(Y46:Y139="yy",$O$46:$O$139,""))+SUM(IF(Y46:Y139="zz",$O$46:$O$139,""))</f>
        <v>0</v>
      </c>
      <c r="Z149" s="54">
        <f t="array" ref="Z149">SUM(IF(Z46:Z139="aa",$O$46:$O$139,""))+SUM(IF(Z46:Z139="bb",$O$46:$O$139,""))+SUM(IF(Z46:Z139="cc",$O$46:$O$139,""))+SUM(IF(Z46:Z139="dd",$O$46:$O$139,""))+SUM(IF(Z46:Z139="ee",$O$46:$O$139,""))+SUM(IF(Z46:Z139="ff",$O$46:$O$139,""))+SUM(IF(Z46:Z139="gg",$O$46:$O$139,""))+SUM(IF(Z46:Z139="hh",$O$46:$O$139,""))+SUM(IF(Z46:Z139="ii",$O$46:$O$139,""))+SUM(IF(Z46:Z139="jj",$O$46:$O$139,""))+SUM(IF(Z46:Z139="kk",$O$46:$O$139,""))+SUM(IF(Z46:Z139="ll",$O$46:$O$139,""))+SUM(IF(Z46:Z139="mm",$O$46:$O$139,""))+SUM(IF(Z46:Z139="nn",$O$46:$O$139,""))+SUM(IF(Z46:Z139="oo",$O$46:$O$139,""))+SUM(IF(Z46:Z139="pp",$O$46:$O$139,""))+SUM(IF(Z46:Z139="qq",$O$46:$O$139,""))+SUM(IF(Z46:Z139="rr",$O$46:$O$139,""))+SUM(IF(Z46:Z139="ss",$O$46:$O$139,""))+SUM(IF(Z46:Z139="tt",$O$46:$O$139,""))+SUM(IF(Z46:Z139="uu",$O$46:$O$139,""))+SUM(IF(Z46:Z139="vv",$O$46:$O$139,""))+SUM(IF(Z46:Z139="ww",$O$46:$O$139,""))+SUM(IF(Z46:Z139="xx",$O$46:$O$139,""))+SUM(IF(Z46:Z139="yy",$O$46:$O$139,""))+SUM(IF(Z46:Z139="zz",$O$46:$O$139,""))</f>
        <v>0</v>
      </c>
      <c r="AA149" s="54">
        <f t="array" ref="AA149">SUM(IF(AA46:AA139="aa",$O$46:$O$139,""))+SUM(IF(AA46:AA139="bb",$O$46:$O$139,""))+SUM(IF(AA46:AA139="cc",$O$46:$O$139,""))+SUM(IF(AA46:AA139="dd",$O$46:$O$139,""))+SUM(IF(AA46:AA139="ee",$O$46:$O$139,""))+SUM(IF(AA46:AA139="ff",$O$46:$O$139,""))+SUM(IF(AA46:AA139="gg",$O$46:$O$139,""))+SUM(IF(AA46:AA139="hh",$O$46:$O$139,""))+SUM(IF(AA46:AA139="ii",$O$46:$O$139,""))+SUM(IF(AA46:AA139="jj",$O$46:$O$139,""))+SUM(IF(AA46:AA139="kk",$O$46:$O$139,""))+SUM(IF(AA46:AA139="ll",$O$46:$O$139,""))+SUM(IF(AA46:AA139="mm",$O$46:$O$139,""))+SUM(IF(AA46:AA139="nn",$O$46:$O$139,""))+SUM(IF(AA46:AA139="oo",$O$46:$O$139,""))+SUM(IF(AA46:AA139="pp",$O$46:$O$139,""))+SUM(IF(AA46:AA139="qq",$O$46:$O$139,""))+SUM(IF(AA46:AA139="rr",$O$46:$O$139,""))+SUM(IF(AA46:AA139="ss",$O$46:$O$139,""))+SUM(IF(AA46:AA139="tt",$O$46:$O$139,""))+SUM(IF(AA46:AA139="uu",$O$46:$O$139,""))+SUM(IF(AA46:AA139="vv",$O$46:$O$139,""))+SUM(IF(AA46:AA139="ww",$O$46:$O$139,""))+SUM(IF(AA46:AA139="xx",$O$46:$O$139,""))+SUM(IF(AA46:AA139="yy",$O$46:$O$139,""))+SUM(IF(AA46:AA139="zz",$O$46:$O$139,""))</f>
        <v>0</v>
      </c>
      <c r="AB149" s="54">
        <f t="array" ref="AB149">SUM(IF(AB46:AB139="aa",$O$46:$O$139,""))+SUM(IF(AB46:AB139="bb",$O$46:$O$139,""))+SUM(IF(AB46:AB139="cc",$O$46:$O$139,""))+SUM(IF(AB46:AB139="dd",$O$46:$O$139,""))+SUM(IF(AB46:AB139="ee",$O$46:$O$139,""))+SUM(IF(AB46:AB139="ff",$O$46:$O$139,""))+SUM(IF(AB46:AB139="gg",$O$46:$O$139,""))+SUM(IF(AB46:AB139="hh",$O$46:$O$139,""))+SUM(IF(AB46:AB139="ii",$O$46:$O$139,""))+SUM(IF(AB46:AB139="jj",$O$46:$O$139,""))+SUM(IF(AB46:AB139="kk",$O$46:$O$139,""))+SUM(IF(AB46:AB139="ll",$O$46:$O$139,""))+SUM(IF(AB46:AB139="mm",$O$46:$O$139,""))+SUM(IF(AB46:AB139="nn",$O$46:$O$139,""))+SUM(IF(AB46:AB139="oo",$O$46:$O$139,""))+SUM(IF(AB46:AB139="pp",$O$46:$O$139,""))+SUM(IF(AB46:AB139="qq",$O$46:$O$139,""))+SUM(IF(AB46:AB139="rr",$O$46:$O$139,""))+SUM(IF(AB46:AB139="ss",$O$46:$O$139,""))+SUM(IF(AB46:AB139="tt",$O$46:$O$139,""))+SUM(IF(AB46:AB139="uu",$O$46:$O$139,""))+SUM(IF(AB46:AB139="vv",$O$46:$O$139,""))+SUM(IF(AB46:AB139="ww",$O$46:$O$139,""))+SUM(IF(AB46:AB139="xx",$O$46:$O$139,""))+SUM(IF(AB46:AB139="yy",$O$46:$O$139,""))+SUM(IF(AB46:AB139="zz",$O$46:$O$139,""))</f>
        <v>0</v>
      </c>
      <c r="AC149" s="54">
        <f t="array" ref="AC149">SUM(IF(AC46:AC139="aa",$O$46:$O$139,""))+SUM(IF(AC46:AC139="bb",$O$46:$O$139,""))+SUM(IF(AC46:AC139="cc",$O$46:$O$139,""))+SUM(IF(AC46:AC139="dd",$O$46:$O$139,""))+SUM(IF(AC46:AC139="ee",$O$46:$O$139,""))+SUM(IF(AC46:AC139="ff",$O$46:$O$139,""))+SUM(IF(AC46:AC139="gg",$O$46:$O$139,""))+SUM(IF(AC46:AC139="hh",$O$46:$O$139,""))+SUM(IF(AC46:AC139="ii",$O$46:$O$139,""))+SUM(IF(AC46:AC139="jj",$O$46:$O$139,""))+SUM(IF(AC46:AC139="kk",$O$46:$O$139,""))+SUM(IF(AC46:AC139="ll",$O$46:$O$139,""))+SUM(IF(AC46:AC139="mm",$O$46:$O$139,""))+SUM(IF(AC46:AC139="nn",$O$46:$O$139,""))+SUM(IF(AC46:AC139="oo",$O$46:$O$139,""))+SUM(IF(AC46:AC139="pp",$O$46:$O$139,""))+SUM(IF(AC46:AC139="qq",$O$46:$O$139,""))+SUM(IF(AC46:AC139="rr",$O$46:$O$139,""))+SUM(IF(AC46:AC139="ss",$O$46:$O$139,""))+SUM(IF(AC46:AC139="tt",$O$46:$O$139,""))+SUM(IF(AC46:AC139="uu",$O$46:$O$139,""))+SUM(IF(AC46:AC139="vv",$O$46:$O$139,""))+SUM(IF(AC46:AC139="ww",$O$46:$O$139,""))+SUM(IF(AC46:AC139="xx",$O$46:$O$139,""))+SUM(IF(AC46:AC139="yy",$O$46:$O$139,""))+SUM(IF(AC46:AC139="zz",$O$46:$O$139,""))</f>
        <v>0</v>
      </c>
      <c r="AD149" t="s">
        <v>257</v>
      </c>
      <c r="AO149" t="s">
        <v>813</v>
      </c>
    </row>
    <row r="150" spans="20:41" ht="24" hidden="1" customHeight="1" x14ac:dyDescent="0.15">
      <c r="T150" s="54">
        <f t="array" ref="T150">SUM(IF(T46:T139="aaa",$O$46:$O$139,""))+SUM(IF(T46:T139="bbb",$O$46:$O$139,""))+SUM(IF(T46:T139="ccc",$O$46:$O$139,""))+SUM(IF(T46:T139="ddd",$O$46:$O$139,""))+SUM(IF(T46:T139="eee",$O$46:$O$139,""))+SUM(IF(T46:T139="fff",$O$46:$O$139,""))+SUM(IF(T46:T139="ggg",$O$46:$O$139,""))+SUM(IF(T46:T139="hhh",$O$46:$O$139,""))+SUM(IF(T46:T139="iii",$O$46:$O$139,""))+SUM(IF(T46:T139="jjj",$O$46:$O$139,""))+SUM(IF(T46:T139="kkk",$O$46:$O$139,""))+SUM(IF(T46:T139="lll",$O$46:$O$139,""))+SUM(IF(T46:T139="mmm",$O$46:$O$139,""))+SUM(IF(T46:T139="nnn",$O$46:$O$139,""))+SUM(IF(T46:T139="ooo",$O$46:$O$139,""))+SUM(IF(T46:T139="ppp",$O$46:$O$139,""))+SUM(IF(T46:T139="qqq",$O$46:$O$139,""))+SUM(IF(T46:T139="rrr",$O$46:$O$139,""))+SUM(IF(T46:T139="sss",$O$46:$O$139,""))+SUM(IF(T46:T139="ttt",$O$46:$O$139,""))+SUM(IF(T46:T139="uuu",$O$46:$O$139,""))+SUM(IF(T46:T139="vvv",$O$46:$O$139,""))+SUM(IF(T46:T139="www",$O$46:$O$139,""))+SUM(IF(T46:T139="xxx",$O$46:$O$139,""))+SUM(IF(T46:T139="yyy",$O$46:$O$139,""))+SUM(IF(T46:T139="zzz",$O$46:$O$139,""))</f>
        <v>0</v>
      </c>
      <c r="U150" s="54">
        <f t="array" ref="U150">SUM(IF(U46:U139="aaa",$O$46:$O$139,""))+SUM(IF(U46:U139="bbb",$O$46:$O$139,""))+SUM(IF(U46:U139="ccc",$O$46:$O$139,""))+SUM(IF(U46:U139="ddd",$O$46:$O$139,""))+SUM(IF(U46:U139="eee",$O$46:$O$139,""))+SUM(IF(U46:U139="fff",$O$46:$O$139,""))+SUM(IF(U46:U139="ggg",$O$46:$O$139,""))+SUM(IF(U46:U139="hhh",$O$46:$O$139,""))+SUM(IF(U46:U139="iii",$O$46:$O$139,""))+SUM(IF(U46:U139="jjj",$O$46:$O$139,""))+SUM(IF(U46:U139="kkk",$O$46:$O$139,""))+SUM(IF(U46:U139="lll",$O$46:$O$139,""))+SUM(IF(U46:U139="mmm",$O$46:$O$139,""))+SUM(IF(U46:U139="nnn",$O$46:$O$139,""))+SUM(IF(U46:U139="ooo",$O$46:$O$139,""))+SUM(IF(U46:U139="ppp",$O$46:$O$139,""))+SUM(IF(U46:U139="qqq",$O$46:$O$139,""))+SUM(IF(U46:U139="rrr",$O$46:$O$139,""))+SUM(IF(U46:U139="sss",$O$46:$O$139,""))+SUM(IF(U46:U139="ttt",$O$46:$O$139,""))+SUM(IF(U46:U139="uuu",$O$46:$O$139,""))+SUM(IF(U46:U139="vvv",$O$46:$O$139,""))+SUM(IF(U46:U139="www",$O$46:$O$139,""))+SUM(IF(U46:U139="xxx",$O$46:$O$139,""))+SUM(IF(U46:U139="yyy",$O$46:$O$139,""))+SUM(IF(U46:U139="zzz",$O$46:$O$139,""))</f>
        <v>0</v>
      </c>
      <c r="V150" s="54">
        <f t="array" ref="V150">SUM(IF(V46:V139="aaa",$O$46:$O$139,""))+SUM(IF(V46:V139="bbb",$O$46:$O$139,""))+SUM(IF(V46:V139="ccc",$O$46:$O$139,""))+SUM(IF(V46:V139="ddd",$O$46:$O$139,""))+SUM(IF(V46:V139="eee",$O$46:$O$139,""))+SUM(IF(V46:V139="fff",$O$46:$O$139,""))+SUM(IF(V46:V139="ggg",$O$46:$O$139,""))+SUM(IF(V46:V139="hhh",$O$46:$O$139,""))+SUM(IF(V46:V139="iii",$O$46:$O$139,""))+SUM(IF(V46:V139="jjj",$O$46:$O$139,""))+SUM(IF(V46:V139="kkk",$O$46:$O$139,""))+SUM(IF(V46:V139="lll",$O$46:$O$139,""))+SUM(IF(V46:V139="mmm",$O$46:$O$139,""))+SUM(IF(V46:V139="nnn",$O$46:$O$139,""))+SUM(IF(V46:V139="ooo",$O$46:$O$139,""))+SUM(IF(V46:V139="ppp",$O$46:$O$139,""))+SUM(IF(V46:V139="qqq",$O$46:$O$139,""))+SUM(IF(V46:V139="rrr",$O$46:$O$139,""))+SUM(IF(V46:V139="sss",$O$46:$O$139,""))+SUM(IF(V46:V139="ttt",$O$46:$O$139,""))+SUM(IF(V46:V139="uuu",$O$46:$O$139,""))+SUM(IF(V46:V139="vvv",$O$46:$O$139,""))+SUM(IF(V46:V139="www",$O$46:$O$139,""))+SUM(IF(V46:V139="xxx",$O$46:$O$139,""))+SUM(IF(V46:V139="yyy",$O$46:$O$139,""))+SUM(IF(V46:V139="zzz",$O$46:$O$139,""))</f>
        <v>0</v>
      </c>
      <c r="W150" s="54">
        <f t="array" ref="W150">SUM(IF(W46:W139="aaa",$O$46:$O$139,""))+SUM(IF(W46:W139="bbb",$O$46:$O$139,""))+SUM(IF(W46:W139="ccc",$O$46:$O$139,""))+SUM(IF(W46:W139="ddd",$O$46:$O$139,""))+SUM(IF(W46:W139="eee",$O$46:$O$139,""))+SUM(IF(W46:W139="fff",$O$46:$O$139,""))+SUM(IF(W46:W139="ggg",$O$46:$O$139,""))+SUM(IF(W46:W139="hhh",$O$46:$O$139,""))+SUM(IF(W46:W139="iii",$O$46:$O$139,""))+SUM(IF(W46:W139="jjj",$O$46:$O$139,""))+SUM(IF(W46:W139="kkk",$O$46:$O$139,""))+SUM(IF(W46:W139="lll",$O$46:$O$139,""))+SUM(IF(W46:W139="mmm",$O$46:$O$139,""))+SUM(IF(W46:W139="nnn",$O$46:$O$139,""))+SUM(IF(W46:W139="ooo",$O$46:$O$139,""))+SUM(IF(W46:W139="ppp",$O$46:$O$139,""))+SUM(IF(W46:W139="qqq",$O$46:$O$139,""))+SUM(IF(W46:W139="rrr",$O$46:$O$139,""))+SUM(IF(W46:W139="sss",$O$46:$O$139,""))+SUM(IF(W46:W139="ttt",$O$46:$O$139,""))+SUM(IF(W46:W139="uuu",$O$46:$O$139,""))+SUM(IF(W46:W139="vvv",$O$46:$O$139,""))+SUM(IF(W46:W139="www",$O$46:$O$139,""))+SUM(IF(W46:W139="xxx",$O$46:$O$139,""))+SUM(IF(W46:W139="yyy",$O$46:$O$139,""))+SUM(IF(W46:W139="zzz",$O$46:$O$139,""))</f>
        <v>0</v>
      </c>
      <c r="X150" s="54">
        <f t="array" ref="X150">SUM(IF(X46:X139="aaa",$O$46:$O$139,""))+SUM(IF(X46:X139="bbb",$O$46:$O$139,""))+SUM(IF(X46:X139="ccc",$O$46:$O$139,""))+SUM(IF(X46:X139="ddd",$O$46:$O$139,""))+SUM(IF(X46:X139="eee",$O$46:$O$139,""))+SUM(IF(X46:X139="fff",$O$46:$O$139,""))+SUM(IF(X46:X139="ggg",$O$46:$O$139,""))+SUM(IF(X46:X139="hhh",$O$46:$O$139,""))+SUM(IF(X46:X139="iii",$O$46:$O$139,""))+SUM(IF(X46:X139="jjj",$O$46:$O$139,""))+SUM(IF(X46:X139="kkk",$O$46:$O$139,""))+SUM(IF(X46:X139="lll",$O$46:$O$139,""))+SUM(IF(X46:X139="mmm",$O$46:$O$139,""))+SUM(IF(X46:X139="nnn",$O$46:$O$139,""))+SUM(IF(X46:X139="ooo",$O$46:$O$139,""))+SUM(IF(X46:X139="ppp",$O$46:$O$139,""))+SUM(IF(X46:X139="qqq",$O$46:$O$139,""))+SUM(IF(X46:X139="rrr",$O$46:$O$139,""))+SUM(IF(X46:X139="sss",$O$46:$O$139,""))+SUM(IF(X46:X139="ttt",$O$46:$O$139,""))+SUM(IF(X46:X139="uuu",$O$46:$O$139,""))+SUM(IF(X46:X139="vvv",$O$46:$O$139,""))+SUM(IF(X46:X139="www",$O$46:$O$139,""))+SUM(IF(X46:X139="xxx",$O$46:$O$139,""))+SUM(IF(X46:X139="yyy",$O$46:$O$139,""))+SUM(IF(X46:X139="zzz",$O$46:$O$139,""))</f>
        <v>0</v>
      </c>
      <c r="Y150" s="54">
        <f t="array" ref="Y150">SUM(IF(Y46:Y139="aaa",$O$46:$O$139,""))+SUM(IF(Y46:Y139="bbb",$O$46:$O$139,""))+SUM(IF(Y46:Y139="ccc",$O$46:$O$139,""))+SUM(IF(Y46:Y139="ddd",$O$46:$O$139,""))+SUM(IF(Y46:Y139="eee",$O$46:$O$139,""))+SUM(IF(Y46:Y139="fff",$O$46:$O$139,""))+SUM(IF(Y46:Y139="ggg",$O$46:$O$139,""))+SUM(IF(Y46:Y139="hhh",$O$46:$O$139,""))+SUM(IF(Y46:Y139="iii",$O$46:$O$139,""))+SUM(IF(Y46:Y139="jjj",$O$46:$O$139,""))+SUM(IF(Y46:Y139="kkk",$O$46:$O$139,""))+SUM(IF(Y46:Y139="lll",$O$46:$O$139,""))+SUM(IF(Y46:Y139="mmm",$O$46:$O$139,""))+SUM(IF(Y46:Y139="nnn",$O$46:$O$139,""))+SUM(IF(Y46:Y139="ooo",$O$46:$O$139,""))+SUM(IF(Y46:Y139="ppp",$O$46:$O$139,""))+SUM(IF(Y46:Y139="qqq",$O$46:$O$139,""))+SUM(IF(Y46:Y139="rrr",$O$46:$O$139,""))+SUM(IF(Y46:Y139="sss",$O$46:$O$139,""))+SUM(IF(Y46:Y139="ttt",$O$46:$O$139,""))+SUM(IF(Y46:Y139="uuu",$O$46:$O$139,""))+SUM(IF(Y46:Y139="vvv",$O$46:$O$139,""))+SUM(IF(Y46:Y139="www",$O$46:$O$139,""))+SUM(IF(Y46:Y139="xxx",$O$46:$O$139,""))+SUM(IF(Y46:Y139="yyy",$O$46:$O$139,""))+SUM(IF(Y46:Y139="zzz",$O$46:$O$139,""))</f>
        <v>0</v>
      </c>
      <c r="Z150" s="54">
        <f t="array" ref="Z150">SUM(IF(Z46:Z139="aaa",$O$46:$O$139,""))+SUM(IF(Z46:Z139="bbb",$O$46:$O$139,""))+SUM(IF(Z46:Z139="ccc",$O$46:$O$139,""))+SUM(IF(Z46:Z139="ddd",$O$46:$O$139,""))+SUM(IF(Z46:Z139="eee",$O$46:$O$139,""))+SUM(IF(Z46:Z139="fff",$O$46:$O$139,""))+SUM(IF(Z46:Z139="ggg",$O$46:$O$139,""))+SUM(IF(Z46:Z139="hhh",$O$46:$O$139,""))+SUM(IF(Z46:Z139="iii",$O$46:$O$139,""))+SUM(IF(Z46:Z139="jjj",$O$46:$O$139,""))+SUM(IF(Z46:Z139="kkk",$O$46:$O$139,""))+SUM(IF(Z46:Z139="lll",$O$46:$O$139,""))+SUM(IF(Z46:Z139="mmm",$O$46:$O$139,""))+SUM(IF(Z46:Z139="nnn",$O$46:$O$139,""))+SUM(IF(Z46:Z139="ooo",$O$46:$O$139,""))+SUM(IF(Z46:Z139="ppp",$O$46:$O$139,""))+SUM(IF(Z46:Z139="qqq",$O$46:$O$139,""))+SUM(IF(Z46:Z139="rrr",$O$46:$O$139,""))+SUM(IF(Z46:Z139="sss",$O$46:$O$139,""))+SUM(IF(Z46:Z139="ttt",$O$46:$O$139,""))+SUM(IF(Z46:Z139="uuu",$O$46:$O$139,""))+SUM(IF(Z46:Z139="vvv",$O$46:$O$139,""))+SUM(IF(Z46:Z139="www",$O$46:$O$139,""))+SUM(IF(Z46:Z139="xxx",$O$46:$O$139,""))+SUM(IF(Z46:Z139="yyy",$O$46:$O$139,""))+SUM(IF(Z46:Z139="zzz",$O$46:$O$139,""))</f>
        <v>0</v>
      </c>
      <c r="AA150" s="54">
        <f t="array" ref="AA150">SUM(IF(AA46:AA139="aaa",$O$46:$O$139,""))+SUM(IF(AA46:AA139="bbb",$O$46:$O$139,""))+SUM(IF(AA46:AA139="ccc",$O$46:$O$139,""))+SUM(IF(AA46:AA139="ddd",$O$46:$O$139,""))+SUM(IF(AA46:AA139="eee",$O$46:$O$139,""))+SUM(IF(AA46:AA139="fff",$O$46:$O$139,""))+SUM(IF(AA46:AA139="ggg",$O$46:$O$139,""))+SUM(IF(AA46:AA139="hhh",$O$46:$O$139,""))+SUM(IF(AA46:AA139="iii",$O$46:$O$139,""))+SUM(IF(AA46:AA139="jjj",$O$46:$O$139,""))+SUM(IF(AA46:AA139="kkk",$O$46:$O$139,""))+SUM(IF(AA46:AA139="lll",$O$46:$O$139,""))+SUM(IF(AA46:AA139="mmm",$O$46:$O$139,""))+SUM(IF(AA46:AA139="nnn",$O$46:$O$139,""))+SUM(IF(AA46:AA139="ooo",$O$46:$O$139,""))+SUM(IF(AA46:AA139="ppp",$O$46:$O$139,""))+SUM(IF(AA46:AA139="qqq",$O$46:$O$139,""))+SUM(IF(AA46:AA139="rrr",$O$46:$O$139,""))+SUM(IF(AA46:AA139="sss",$O$46:$O$139,""))+SUM(IF(AA46:AA139="ttt",$O$46:$O$139,""))+SUM(IF(AA46:AA139="uuu",$O$46:$O$139,""))+SUM(IF(AA46:AA139="vvv",$O$46:$O$139,""))+SUM(IF(AA46:AA139="www",$O$46:$O$139,""))+SUM(IF(AA46:AA139="xxx",$O$46:$O$139,""))+SUM(IF(AA46:AA139="yyy",$O$46:$O$139,""))+SUM(IF(AA46:AA139="zzz",$O$46:$O$139,""))</f>
        <v>0</v>
      </c>
      <c r="AB150" s="54">
        <f t="array" ref="AB150">SUM(IF(AB46:AB139="aaa",$O$46:$O$139,""))+SUM(IF(AB46:AB139="bbb",$O$46:$O$139,""))+SUM(IF(AB46:AB139="ccc",$O$46:$O$139,""))+SUM(IF(AB46:AB139="ddd",$O$46:$O$139,""))+SUM(IF(AB46:AB139="eee",$O$46:$O$139,""))+SUM(IF(AB46:AB139="fff",$O$46:$O$139,""))+SUM(IF(AB46:AB139="ggg",$O$46:$O$139,""))+SUM(IF(AB46:AB139="hhh",$O$46:$O$139,""))+SUM(IF(AB46:AB139="iii",$O$46:$O$139,""))+SUM(IF(AB46:AB139="jjj",$O$46:$O$139,""))+SUM(IF(AB46:AB139="kkk",$O$46:$O$139,""))+SUM(IF(AB46:AB139="lll",$O$46:$O$139,""))+SUM(IF(AB46:AB139="mmm",$O$46:$O$139,""))+SUM(IF(AB46:AB139="nnn",$O$46:$O$139,""))+SUM(IF(AB46:AB139="ooo",$O$46:$O$139,""))+SUM(IF(AB46:AB139="ppp",$O$46:$O$139,""))+SUM(IF(AB46:AB139="qqq",$O$46:$O$139,""))+SUM(IF(AB46:AB139="rrr",$O$46:$O$139,""))+SUM(IF(AB46:AB139="sss",$O$46:$O$139,""))+SUM(IF(AB46:AB139="ttt",$O$46:$O$139,""))+SUM(IF(AB46:AB139="uuu",$O$46:$O$139,""))+SUM(IF(AB46:AB139="vvv",$O$46:$O$139,""))+SUM(IF(AB46:AB139="www",$O$46:$O$139,""))+SUM(IF(AB46:AB139="xxx",$O$46:$O$139,""))+SUM(IF(AB46:AB139="yyy",$O$46:$O$139,""))+SUM(IF(AB46:AB139="zzz",$O$46:$O$139,""))</f>
        <v>0</v>
      </c>
      <c r="AC150" s="54">
        <f t="array" ref="AC150">SUM(IF(AC46:AC139="aaa",$O$46:$O$139,""))+SUM(IF(AC46:AC139="bbb",$O$46:$O$139,""))+SUM(IF(AC46:AC139="ccc",$O$46:$O$139,""))+SUM(IF(AC46:AC139="ddd",$O$46:$O$139,""))+SUM(IF(AC46:AC139="eee",$O$46:$O$139,""))+SUM(IF(AC46:AC139="fff",$O$46:$O$139,""))+SUM(IF(AC46:AC139="ggg",$O$46:$O$139,""))+SUM(IF(AC46:AC139="hhh",$O$46:$O$139,""))+SUM(IF(AC46:AC139="iii",$O$46:$O$139,""))+SUM(IF(AC46:AC139="jjj",$O$46:$O$139,""))+SUM(IF(AC46:AC139="kkk",$O$46:$O$139,""))+SUM(IF(AC46:AC139="lll",$O$46:$O$139,""))+SUM(IF(AC46:AC139="mmm",$O$46:$O$139,""))+SUM(IF(AC46:AC139="nnn",$O$46:$O$139,""))+SUM(IF(AC46:AC139="ooo",$O$46:$O$139,""))+SUM(IF(AC46:AC139="ppp",$O$46:$O$139,""))+SUM(IF(AC46:AC139="qqq",$O$46:$O$139,""))+SUM(IF(AC46:AC139="rrr",$O$46:$O$139,""))+SUM(IF(AC46:AC139="sss",$O$46:$O$139,""))+SUM(IF(AC46:AC139="ttt",$O$46:$O$139,""))+SUM(IF(AC46:AC139="uuu",$O$46:$O$139,""))+SUM(IF(AC46:AC139="vvv",$O$46:$O$139,""))+SUM(IF(AC46:AC139="www",$O$46:$O$139,""))+SUM(IF(AC46:AC139="xxx",$O$46:$O$139,""))+SUM(IF(AC46:AC139="yyy",$O$46:$O$139,""))+SUM(IF(AC46:AC139="zzz",$O$46:$O$139,""))</f>
        <v>0</v>
      </c>
      <c r="AD150" t="s">
        <v>258</v>
      </c>
      <c r="AO150" t="s">
        <v>814</v>
      </c>
    </row>
    <row r="151" spans="20:41" ht="24" hidden="1" customHeight="1" x14ac:dyDescent="0.15">
      <c r="T151" s="54">
        <f t="array" ref="T151">SUM(IF(T46:T139="aaaa",$O$46:$O$139,""))+SUM(IF(T46:T139="bbbb",$O$46:$O$139,""))+SUM(IF(T46:T139="cccc",$O$46:$O$139,""))+SUM(IF(T46:T139="dddd",$O$46:$O$139,""))+SUM(IF(T46:T139="eeee",$O$46:$O$139,""))+SUM(IF(T46:T139="ffff",$O$46:$O$139,""))+SUM(IF(T46:T139="gggg",$O$46:$O$139,""))+SUM(IF(T46:T139="hhhh",$O$46:$O$139,""))+SUM(IF(T46:T139="iiii",$O$46:$O$139,""))+SUM(IF(T46:T139="jjjj",$O$46:$O$139,""))+SUM(IF(T46:T139="kkkk",$O$46:$O$139,""))+SUM(IF(T46:T139="llll",$O$46:$O$139,""))+SUM(IF(T46:T139="mmmm",$O$46:$O$139,""))+SUM(IF(T46:T139="nnnn",$O$46:$O$139,""))+SUM(IF(T46:T139="oooo",$O$46:$O$139,""))+SUM(IF(T46:T139="pppp",$O$46:$O$139,""))</f>
        <v>0</v>
      </c>
      <c r="U151" s="54">
        <f t="array" ref="U151">SUM(IF(U46:U139="aaaa",$O$46:$O$139,""))+SUM(IF(U46:U139="bbbb",$O$46:$O$139,""))+SUM(IF(U46:U139="cccc",$O$46:$O$139,""))+SUM(IF(U46:U139="dddd",$O$46:$O$139,""))+SUM(IF(U46:U139="eeee",$O$46:$O$139,""))+SUM(IF(U46:U139="ffff",$O$46:$O$139,""))+SUM(IF(U46:U139="gggg",$O$46:$O$139,""))+SUM(IF(U46:U139="hhhh",$O$46:$O$139,""))+SUM(IF(U46:U139="iiii",$O$46:$O$139,""))+SUM(IF(U46:U139="jjjj",$O$46:$O$139,""))+SUM(IF(U46:U139="kkkk",$O$46:$O$139,""))+SUM(IF(U46:U139="llll",$O$46:$O$139,""))+SUM(IF(U46:U139="mmmm",$O$46:$O$139,""))+SUM(IF(U46:U139="nnnn",$O$46:$O$139,""))+SUM(IF(U46:U139="oooo",$O$46:$O$139,""))+SUM(IF(U46:U139="pppp",$O$46:$O$139,""))</f>
        <v>0</v>
      </c>
      <c r="V151" s="54">
        <f t="array" ref="V151">SUM(IF(V46:V139="aaaa",$O$46:$O$139,""))+SUM(IF(V46:V139="bbbb",$O$46:$O$139,""))+SUM(IF(V46:V139="cccc",$O$46:$O$139,""))+SUM(IF(V46:V139="dddd",$O$46:$O$139,""))+SUM(IF(V46:V139="eeee",$O$46:$O$139,""))+SUM(IF(V46:V139="ffff",$O$46:$O$139,""))+SUM(IF(V46:V139="gggg",$O$46:$O$139,""))+SUM(IF(V46:V139="hhhh",$O$46:$O$139,""))+SUM(IF(V46:V139="iiii",$O$46:$O$139,""))+SUM(IF(V46:V139="jjjj",$O$46:$O$139,""))+SUM(IF(V46:V139="kkkk",$O$46:$O$139,""))+SUM(IF(V46:V139="llll",$O$46:$O$139,""))+SUM(IF(V46:V139="mmmm",$O$46:$O$139,""))+SUM(IF(V46:V139="nnnn",$O$46:$O$139,""))+SUM(IF(V46:V139="oooo",$O$46:$O$139,""))+SUM(IF(V46:V139="pppp",$O$46:$O$139,""))</f>
        <v>0</v>
      </c>
      <c r="W151" s="54">
        <f t="array" ref="W151">SUM(IF(W46:W139="aaaa",$O$46:$O$139,""))+SUM(IF(W46:W139="bbbb",$O$46:$O$139,""))+SUM(IF(W46:W139="cccc",$O$46:$O$139,""))+SUM(IF(W46:W139="dddd",$O$46:$O$139,""))+SUM(IF(W46:W139="eeee",$O$46:$O$139,""))+SUM(IF(W46:W139="ffff",$O$46:$O$139,""))+SUM(IF(W46:W139="gggg",$O$46:$O$139,""))+SUM(IF(W46:W139="hhhh",$O$46:$O$139,""))+SUM(IF(W46:W139="iiii",$O$46:$O$139,""))+SUM(IF(W46:W139="jjjj",$O$46:$O$139,""))+SUM(IF(W46:W139="kkkk",$O$46:$O$139,""))+SUM(IF(W46:W139="llll",$O$46:$O$139,""))+SUM(IF(W46:W139="mmmm",$O$46:$O$139,""))+SUM(IF(W46:W139="nnnn",$O$46:$O$139,""))+SUM(IF(W46:W139="oooo",$O$46:$O$139,""))+SUM(IF(W46:W139="pppp",$O$46:$O$139,""))</f>
        <v>0</v>
      </c>
      <c r="X151" s="54">
        <f t="array" ref="X151">SUM(IF(X46:X139="aaaa",$O$46:$O$139,""))+SUM(IF(X46:X139="bbbb",$O$46:$O$139,""))+SUM(IF(X46:X139="cccc",$O$46:$O$139,""))+SUM(IF(X46:X139="dddd",$O$46:$O$139,""))+SUM(IF(X46:X139="eeee",$O$46:$O$139,""))+SUM(IF(X46:X139="ffff",$O$46:$O$139,""))+SUM(IF(X46:X139="gggg",$O$46:$O$139,""))+SUM(IF(X46:X139="hhhh",$O$46:$O$139,""))+SUM(IF(X46:X139="iiii",$O$46:$O$139,""))+SUM(IF(X46:X139="jjjj",$O$46:$O$139,""))+SUM(IF(X46:X139="kkkk",$O$46:$O$139,""))+SUM(IF(X46:X139="llll",$O$46:$O$139,""))+SUM(IF(X46:X139="mmmm",$O$46:$O$139,""))+SUM(IF(X46:X139="nnnn",$O$46:$O$139,""))+SUM(IF(X46:X139="oooo",$O$46:$O$139,""))+SUM(IF(X46:X139="pppp",$O$46:$O$139,""))</f>
        <v>0</v>
      </c>
      <c r="Y151" s="54">
        <f t="array" ref="Y151">SUM(IF(Y46:Y139="aaaa",$O$46:$O$139,""))+SUM(IF(Y46:Y139="bbbb",$O$46:$O$139,""))+SUM(IF(Y46:Y139="cccc",$O$46:$O$139,""))+SUM(IF(Y46:Y139="dddd",$O$46:$O$139,""))+SUM(IF(Y46:Y139="eeee",$O$46:$O$139,""))+SUM(IF(Y46:Y139="ffff",$O$46:$O$139,""))+SUM(IF(Y46:Y139="gggg",$O$46:$O$139,""))+SUM(IF(Y46:Y139="hhhh",$O$46:$O$139,""))+SUM(IF(Y46:Y139="iiii",$O$46:$O$139,""))+SUM(IF(Y46:Y139="jjjj",$O$46:$O$139,""))+SUM(IF(Y46:Y139="kkkk",$O$46:$O$139,""))+SUM(IF(Y46:Y139="llll",$O$46:$O$139,""))+SUM(IF(Y46:Y139="mmmm",$O$46:$O$139,""))+SUM(IF(Y46:Y139="nnnn",$O$46:$O$139,""))+SUM(IF(Y46:Y139="oooo",$O$46:$O$139,""))+SUM(IF(Y46:Y139="pppp",$O$46:$O$139,""))</f>
        <v>0</v>
      </c>
      <c r="Z151" s="54">
        <f t="array" ref="Z151">SUM(IF(Z46:Z139="aaaa",$O$46:$O$139,""))+SUM(IF(Z46:Z139="bbbb",$O$46:$O$139,""))+SUM(IF(Z46:Z139="cccc",$O$46:$O$139,""))+SUM(IF(Z46:Z139="dddd",$O$46:$O$139,""))+SUM(IF(Z46:Z139="eeee",$O$46:$O$139,""))+SUM(IF(Z46:Z139="ffff",$O$46:$O$139,""))+SUM(IF(Z46:Z139="gggg",$O$46:$O$139,""))+SUM(IF(Z46:Z139="hhhh",$O$46:$O$139,""))+SUM(IF(Z46:Z139="iiii",$O$46:$O$139,""))+SUM(IF(Z46:Z139="jjjj",$O$46:$O$139,""))+SUM(IF(Z46:Z139="kkkk",$O$46:$O$139,""))+SUM(IF(Z46:Z139="llll",$O$46:$O$139,""))+SUM(IF(Z46:Z139="mmmm",$O$46:$O$139,""))+SUM(IF(Z46:Z139="nnnn",$O$46:$O$139,""))+SUM(IF(Z46:Z139="oooo",$O$46:$O$139,""))+SUM(IF(Z46:Z139="pppp",$O$46:$O$139,""))</f>
        <v>0</v>
      </c>
      <c r="AA151" s="54">
        <f t="array" ref="AA151">SUM(IF(AA46:AA139="aaaa",$O$46:$O$139,""))+SUM(IF(AA46:AA139="bbbb",$O$46:$O$139,""))+SUM(IF(AA46:AA139="cccc",$O$46:$O$139,""))+SUM(IF(AA46:AA139="dddd",$O$46:$O$139,""))+SUM(IF(AA46:AA139="eeee",$O$46:$O$139,""))+SUM(IF(AA46:AA139="ffff",$O$46:$O$139,""))+SUM(IF(AA46:AA139="gggg",$O$46:$O$139,""))+SUM(IF(AA46:AA139="hhhh",$O$46:$O$139,""))+SUM(IF(AA46:AA139="iiii",$O$46:$O$139,""))+SUM(IF(AA46:AA139="jjjj",$O$46:$O$139,""))+SUM(IF(AA46:AA139="kkkk",$O$46:$O$139,""))+SUM(IF(AA46:AA139="llll",$O$46:$O$139,""))+SUM(IF(AA46:AA139="mmmm",$O$46:$O$139,""))+SUM(IF(AA46:AA139="nnnn",$O$46:$O$139,""))+SUM(IF(AA46:AA139="oooo",$O$46:$O$139,""))+SUM(IF(AA46:AA139="pppp",$O$46:$O$139,""))</f>
        <v>0</v>
      </c>
      <c r="AB151" s="54">
        <f t="array" ref="AB151">SUM(IF(AB46:AB139="aaaa",$O$46:$O$139,""))+SUM(IF(AB46:AB139="bbbb",$O$46:$O$139,""))+SUM(IF(AB46:AB139="cccc",$O$46:$O$139,""))+SUM(IF(AB46:AB139="dddd",$O$46:$O$139,""))+SUM(IF(AB46:AB139="eeee",$O$46:$O$139,""))+SUM(IF(AB46:AB139="ffff",$O$46:$O$139,""))+SUM(IF(AB46:AB139="gggg",$O$46:$O$139,""))+SUM(IF(AB46:AB139="hhhh",$O$46:$O$139,""))+SUM(IF(AB46:AB139="iiii",$O$46:$O$139,""))+SUM(IF(AB46:AB139="jjjj",$O$46:$O$139,""))+SUM(IF(AB46:AB139="kkkk",$O$46:$O$139,""))+SUM(IF(AB46:AB139="llll",$O$46:$O$139,""))+SUM(IF(AB46:AB139="mmmm",$O$46:$O$139,""))+SUM(IF(AB46:AB139="nnnn",$O$46:$O$139,""))+SUM(IF(AB46:AB139="oooo",$O$46:$O$139,""))+SUM(IF(AB46:AB139="pppp",$O$46:$O$139,""))</f>
        <v>0</v>
      </c>
      <c r="AC151" s="54">
        <f t="array" ref="AC151">SUM(IF(AC46:AC139="aaaa",$O$46:$O$139,""))+SUM(IF(AC46:AC139="bbbb",$O$46:$O$139,""))+SUM(IF(AC46:AC139="cccc",$O$46:$O$139,""))+SUM(IF(AC46:AC139="dddd",$O$46:$O$139,""))+SUM(IF(AC46:AC139="eeee",$O$46:$O$139,""))+SUM(IF(AC46:AC139="ffff",$O$46:$O$139,""))+SUM(IF(AC46:AC139="gggg",$O$46:$O$139,""))+SUM(IF(AC46:AC139="hhhh",$O$46:$O$139,""))+SUM(IF(AC46:AC139="iiii",$O$46:$O$139,""))+SUM(IF(AC46:AC139="jjjj",$O$46:$O$139,""))+SUM(IF(AC46:AC139="kkkk",$O$46:$O$139,""))+SUM(IF(AC46:AC139="llll",$O$46:$O$139,""))+SUM(IF(AC46:AC139="mmmm",$O$46:$O$139,""))+SUM(IF(AC46:AC139="nnnn",$O$46:$O$139,""))+SUM(IF(AC46:AC139="oooo",$O$46:$O$139,""))+SUM(IF(AC46:AC139="pppp",$O$46:$O$139,""))+SUM(IF(AC46:AC139="qqqq",$O$46:$O$139,""))+SUM(IF(AC46:AC139="rrrr",$O$46:$O$139,""))+SUM(IF(AC46:AC139="ssss",$O$46:$O$139,""))+SUM(IF(AC46:AC139="tttt",$O$46:$O$139,""))+SUM(IF(AC46:AC139="uuuu",$O$46:$O$139,""))+SUM(IF(AC46:AC139="vvvv",$O$46:$O$139,""))+SUM(IF(AC46:AC139="wwww",$O$46:$O$139,""))</f>
        <v>0</v>
      </c>
      <c r="AD151" t="s">
        <v>267</v>
      </c>
      <c r="AO151" t="s">
        <v>810</v>
      </c>
    </row>
    <row r="152" spans="20:41" ht="24" hidden="1" customHeight="1" x14ac:dyDescent="0.15">
      <c r="T152" s="111">
        <f>SUM(T148:T151)</f>
        <v>0</v>
      </c>
      <c r="U152" s="111">
        <f t="shared" ref="U152:AC152" si="8">SUM(U148:U151)</f>
        <v>0</v>
      </c>
      <c r="V152" s="111">
        <f t="shared" si="8"/>
        <v>0</v>
      </c>
      <c r="W152" s="111">
        <f t="shared" si="8"/>
        <v>0</v>
      </c>
      <c r="X152" s="111">
        <f t="shared" si="8"/>
        <v>0</v>
      </c>
      <c r="Y152" s="111">
        <f t="shared" si="8"/>
        <v>0</v>
      </c>
      <c r="Z152" s="111">
        <f t="shared" si="8"/>
        <v>0</v>
      </c>
      <c r="AA152" s="111">
        <f t="shared" si="8"/>
        <v>0</v>
      </c>
      <c r="AB152" s="111">
        <f t="shared" si="8"/>
        <v>0</v>
      </c>
      <c r="AC152" s="111">
        <f t="shared" si="8"/>
        <v>0</v>
      </c>
      <c r="AD152" s="2" t="s">
        <v>259</v>
      </c>
      <c r="AO152" t="s">
        <v>259</v>
      </c>
    </row>
    <row r="153" spans="20:41" ht="24" hidden="1" customHeight="1" x14ac:dyDescent="0.15"/>
    <row r="154" spans="20:41" ht="24" hidden="1" customHeight="1" x14ac:dyDescent="0.15">
      <c r="T154" s="54">
        <f t="array" ref="T154">SUM(IF(T46:T139="a",$P$46:$P$139,""))+SUM(IF(T46:T139="b",$P$46:$P$139,""))+SUM(IF(T46:T139="c",$P$46:$P$139,""))+SUM(IF(T46:T139="d",$P$46:$P$139,""))+SUM(IF(T46:T139="e",$P$46:$P$139,""))+SUM(IF(T46:T139="f",$P$46:$P$139,""))+SUM(IF(T46:T139="g",$P$46:$P$139,""))+SUM(IF(T46:T139="h",$P$46:$P$139,""))+SUM(IF(T46:T139="i",$P$46:$P$139,""))+SUM(IF(T46:T139="j",$P$46:$P$139,""))+SUM(IF(T46:T139="k",$P$46:$P$139,""))+SUM(IF(T46:T139="l",$P$46:$P$139,""))+SUM(IF(T46:T139="m",$P$46:$P$139,""))+SUM(IF(T46:T139="n",$P$46:$P$139,""))+SUM(IF(T46:T139="o",$P$46:$P$139,""))+SUM(IF(T46:T139="p",$P$46:$P$139,""))+SUM(IF(T46:T139="q",$P$46:$P$139,""))+SUM(IF(T46:T139="r",$P$46:$P$139,""))+SUM(IF(T46:T139="s",$P$46:$P$139,""))+SUM(IF(T46:T139="t",$P$46:$P$139,""))+SUM(IF(T46:T139="u",$P$46:$P$139,""))+SUM(IF(T46:T139="v",$P$46:$P$139,""))+SUM(IF(T46:T139="w",$P$46:$P$139,""))+SUM(IF(T46:T139="x",$P$46:$P$139,""))+SUM(IF(T46:T139="y",$P$46:$P$139,""))+SUM(IF(T46:T139="z",$P$46:$P$139,""))</f>
        <v>0</v>
      </c>
      <c r="U154" s="54">
        <f t="array" ref="U154">SUM(IF(U46:U139="a",$P$46:$P$139,""))+SUM(IF(U46:U139="b",$P$46:$P$139,""))+SUM(IF(U46:U139="c",$P$46:$P$139,""))+SUM(IF(U46:U139="d",$P$46:$P$139,""))+SUM(IF(U46:U139="e",$P$46:$P$139,""))+SUM(IF(U46:U139="f",$P$46:$P$139,""))+SUM(IF(U46:U139="g",$P$46:$P$139,""))+SUM(IF(U46:U139="h",$P$46:$P$139,""))+SUM(IF(U46:U139="i",$P$46:$P$139,""))+SUM(IF(U46:U139="j",$P$46:$P$139,""))+SUM(IF(U46:U139="k",$P$46:$P$139,""))+SUM(IF(U46:U139="l",$P$46:$P$139,""))+SUM(IF(U46:U139="m",$P$46:$P$139,""))+SUM(IF(U46:U139="n",$P$46:$P$139,""))+SUM(IF(U46:U139="o",$P$46:$P$139,""))+SUM(IF(U46:U139="p",$P$46:$P$139,""))+SUM(IF(U46:U139="q",$P$46:$P$139,""))+SUM(IF(U46:U139="r",$P$46:$P$139,""))+SUM(IF(U46:U139="s",$P$46:$P$139,""))+SUM(IF(U46:U139="t",$P$46:$P$139,""))+SUM(IF(U46:U139="u",$P$46:$P$139,""))+SUM(IF(U46:U139="v",$P$46:$P$139,""))+SUM(IF(U46:U139="w",$P$46:$P$139,""))+SUM(IF(U46:U139="x",$P$46:$P$139,""))+SUM(IF(U46:U139="y",$P$46:$P$139,""))+SUM(IF(U46:U139="z",$P$46:$P$139,""))</f>
        <v>0</v>
      </c>
      <c r="V154" s="54">
        <f t="array" ref="V154">SUM(IF(V46:V139="a",$P$46:$P$139,""))+SUM(IF(V46:V139="b",$P$46:$P$139,""))+SUM(IF(V46:V139="c",$P$46:$P$139,""))+SUM(IF(V46:V139="d",$P$46:$P$139,""))+SUM(IF(V46:V139="e",$P$46:$P$139,""))+SUM(IF(V46:V139="f",$P$46:$P$139,""))+SUM(IF(V46:V139="g",$P$46:$P$139,""))+SUM(IF(V46:V139="h",$P$46:$P$139,""))+SUM(IF(V46:V139="i",$P$46:$P$139,""))+SUM(IF(V46:V139="j",$P$46:$P$139,""))+SUM(IF(V46:V139="k",$P$46:$P$139,""))+SUM(IF(V46:V139="l",$P$46:$P$139,""))+SUM(IF(V46:V139="m",$P$46:$P$139,""))+SUM(IF(V46:V139="n",$P$46:$P$139,""))+SUM(IF(V46:V139="o",$P$46:$P$139,""))+SUM(IF(V46:V139="p",$P$46:$P$139,""))+SUM(IF(V46:V139="q",$P$46:$P$139,""))+SUM(IF(V46:V139="r",$P$46:$P$139,""))+SUM(IF(V46:V139="s",$P$46:$P$139,""))+SUM(IF(V46:V139="t",$P$46:$P$139,""))+SUM(IF(V46:V139="u",$P$46:$P$139,""))+SUM(IF(V46:V139="v",$P$46:$P$139,""))+SUM(IF(V46:V139="w",$P$46:$P$139,""))+SUM(IF(V46:V139="x",$P$46:$P$139,""))+SUM(IF(V46:V139="y",$P$46:$P$139,""))+SUM(IF(V46:V139="z",$P$46:$P$139,""))</f>
        <v>0</v>
      </c>
      <c r="W154" s="54">
        <f t="array" ref="W154">SUM(IF(W46:W139="a",$P$46:$P$139,""))+SUM(IF(W46:W139="b",$P$46:$P$139,""))+SUM(IF(W46:W139="c",$P$46:$P$139,""))+SUM(IF(W46:W139="d",$P$46:$P$139,""))+SUM(IF(W46:W139="e",$P$46:$P$139,""))+SUM(IF(W46:W139="f",$P$46:$P$139,""))+SUM(IF(W46:W139="g",$P$46:$P$139,""))+SUM(IF(W46:W139="h",$P$46:$P$139,""))+SUM(IF(W46:W139="i",$P$46:$P$139,""))+SUM(IF(W46:W139="j",$P$46:$P$139,""))+SUM(IF(W46:W139="k",$P$46:$P$139,""))+SUM(IF(W46:W139="l",$P$46:$P$139,""))+SUM(IF(W46:W139="m",$P$46:$P$139,""))+SUM(IF(W46:W139="n",$P$46:$P$139,""))+SUM(IF(W46:W139="o",$P$46:$P$139,""))+SUM(IF(W46:W139="p",$P$46:$P$139,""))+SUM(IF(W46:W139="q",$P$46:$P$139,""))+SUM(IF(W46:W139="r",$P$46:$P$139,""))+SUM(IF(W46:W139="s",$P$46:$P$139,""))+SUM(IF(W46:W139="t",$P$46:$P$139,""))+SUM(IF(W46:W139="u",$P$46:$P$139,""))+SUM(IF(W46:W139="v",$P$46:$P$139,""))+SUM(IF(W46:W139="w",$P$46:$P$139,""))+SUM(IF(W46:W139="x",$P$46:$P$139,""))+SUM(IF(W46:W139="y",$P$46:$P$139,""))+SUM(IF(W46:W139="z",$P$46:$P$139,""))</f>
        <v>0</v>
      </c>
      <c r="X154" s="54">
        <f t="array" ref="X154">SUM(IF(X46:X139="a",$P$46:$P$139,""))+SUM(IF(X46:X139="b",$P$46:$P$139,""))+SUM(IF(X46:X139="c",$P$46:$P$139,""))+SUM(IF(X46:X139="d",$P$46:$P$139,""))+SUM(IF(X46:X139="e",$P$46:$P$139,""))+SUM(IF(X46:X139="f",$P$46:$P$139,""))+SUM(IF(X46:X139="g",$P$46:$P$139,""))+SUM(IF(X46:X139="h",$P$46:$P$139,""))+SUM(IF(X46:X139="i",$P$46:$P$139,""))+SUM(IF(X46:X139="j",$P$46:$P$139,""))+SUM(IF(X46:X139="k",$P$46:$P$139,""))+SUM(IF(X46:X139="l",$P$46:$P$139,""))+SUM(IF(X46:X139="m",$P$46:$P$139,""))+SUM(IF(X46:X139="n",$P$46:$P$139,""))+SUM(IF(X46:X139="o",$P$46:$P$139,""))+SUM(IF(X46:X139="p",$P$46:$P$139,""))+SUM(IF(X46:X139="q",$P$46:$P$139,""))+SUM(IF(X46:X139="r",$P$46:$P$139,""))+SUM(IF(X46:X139="s",$P$46:$P$139,""))+SUM(IF(X46:X139="t",$P$46:$P$139,""))+SUM(IF(X46:X139="u",$P$46:$P$139,""))+SUM(IF(X46:X139="v",$P$46:$P$139,""))+SUM(IF(X46:X139="w",$P$46:$P$139,""))+SUM(IF(X46:X139="x",$P$46:$P$139,""))+SUM(IF(X46:X139="y",$P$46:$P$139,""))+SUM(IF(X46:X139="z",$P$46:$P$139,""))</f>
        <v>0</v>
      </c>
      <c r="Y154" s="54">
        <f t="array" ref="Y154">SUM(IF(Y46:Y139="a",$P$46:$P$139,""))+SUM(IF(Y46:Y139="b",$P$46:$P$139,""))+SUM(IF(Y46:Y139="c",$P$46:$P$139,""))+SUM(IF(Y46:Y139="d",$P$46:$P$139,""))+SUM(IF(Y46:Y139="e",$P$46:$P$139,""))+SUM(IF(Y46:Y139="f",$P$46:$P$139,""))+SUM(IF(Y46:Y139="g",$P$46:$P$139,""))+SUM(IF(Y46:Y139="h",$P$46:$P$139,""))+SUM(IF(Y46:Y139="i",$P$46:$P$139,""))+SUM(IF(Y46:Y139="j",$P$46:$P$139,""))+SUM(IF(Y46:Y139="k",$P$46:$P$139,""))+SUM(IF(Y46:Y139="l",$P$46:$P$139,""))+SUM(IF(Y46:Y139="m",$P$46:$P$139,""))+SUM(IF(Y46:Y139="n",$P$46:$P$139,""))+SUM(IF(Y46:Y139="o",$P$46:$P$139,""))+SUM(IF(Y46:Y139="p",$P$46:$P$139,""))+SUM(IF(Y46:Y139="q",$P$46:$P$139,""))+SUM(IF(Y46:Y139="r",$P$46:$P$139,""))+SUM(IF(Y46:Y139="s",$P$46:$P$139,""))+SUM(IF(Y46:Y139="t",$P$46:$P$139,""))+SUM(IF(Y46:Y139="u",$P$46:$P$139,""))+SUM(IF(Y46:Y139="v",$P$46:$P$139,""))+SUM(IF(Y46:Y139="w",$P$46:$P$139,""))+SUM(IF(Y46:Y139="x",$P$46:$P$139,""))+SUM(IF(Y46:Y139="y",$P$46:$P$139,""))+SUM(IF(Y46:Y139="z",$P$46:$P$139,""))</f>
        <v>0</v>
      </c>
      <c r="Z154" s="54">
        <f t="array" ref="Z154">SUM(IF(Z46:Z139="a",$P$46:$P$139,""))+SUM(IF(Z46:Z139="b",$P$46:$P$139,""))+SUM(IF(Z46:Z139="c",$P$46:$P$139,""))+SUM(IF(Z46:Z139="d",$P$46:$P$139,""))+SUM(IF(Z46:Z139="e",$P$46:$P$139,""))+SUM(IF(Z46:Z139="f",$P$46:$P$139,""))+SUM(IF(Z46:Z139="g",$P$46:$P$139,""))+SUM(IF(Z46:Z139="h",$P$46:$P$139,""))+SUM(IF(Z46:Z139="i",$P$46:$P$139,""))+SUM(IF(Z46:Z139="j",$P$46:$P$139,""))+SUM(IF(Z46:Z139="k",$P$46:$P$139,""))+SUM(IF(Z46:Z139="l",$P$46:$P$139,""))+SUM(IF(Z46:Z139="m",$P$46:$P$139,""))+SUM(IF(Z46:Z139="n",$P$46:$P$139,""))+SUM(IF(Z46:Z139="o",$P$46:$P$139,""))+SUM(IF(Z46:Z139="p",$P$46:$P$139,""))+SUM(IF(Z46:Z139="q",$P$46:$P$139,""))+SUM(IF(Z46:Z139="r",$P$46:$P$139,""))+SUM(IF(Z46:Z139="s",$P$46:$P$139,""))+SUM(IF(Z46:Z139="t",$P$46:$P$139,""))+SUM(IF(Z46:Z139="u",$P$46:$P$139,""))+SUM(IF(Z46:Z139="v",$P$46:$P$139,""))+SUM(IF(Z46:Z139="w",$P$46:$P$139,""))+SUM(IF(Z46:Z139="x",$P$46:$P$139,""))+SUM(IF(Z46:Z139="y",$P$46:$P$139,""))+SUM(IF(Z46:Z139="z",$P$46:$P$139,""))</f>
        <v>0</v>
      </c>
      <c r="AA154" s="54">
        <f t="array" ref="AA154">SUM(IF(AA46:AA139="a",$P$46:$P$139,""))+SUM(IF(AA46:AA139="b",$P$46:$P$139,""))+SUM(IF(AA46:AA139="c",$P$46:$P$139,""))+SUM(IF(AA46:AA139="d",$P$46:$P$139,""))+SUM(IF(AA46:AA139="e",$P$46:$P$139,""))+SUM(IF(AA46:AA139="f",$P$46:$P$139,""))+SUM(IF(AA46:AA139="g",$P$46:$P$139,""))+SUM(IF(AA46:AA139="h",$P$46:$P$139,""))+SUM(IF(AA46:AA139="i",$P$46:$P$139,""))+SUM(IF(AA46:AA139="j",$P$46:$P$139,""))+SUM(IF(AA46:AA139="k",$P$46:$P$139,""))+SUM(IF(AA46:AA139="l",$P$46:$P$139,""))+SUM(IF(AA46:AA139="m",$P$46:$P$139,""))+SUM(IF(AA46:AA139="n",$P$46:$P$139,""))+SUM(IF(AA46:AA139="o",$P$46:$P$139,""))+SUM(IF(AA46:AA139="p",$P$46:$P$139,""))+SUM(IF(AA46:AA139="q",$P$46:$P$139,""))+SUM(IF(AA46:AA139="r",$P$46:$P$139,""))+SUM(IF(AA46:AA139="s",$P$46:$P$139,""))+SUM(IF(AA46:AA139="t",$P$46:$P$139,""))+SUM(IF(AA46:AA139="u",$P$46:$P$139,""))+SUM(IF(AA46:AA139="v",$P$46:$P$139,""))+SUM(IF(AA46:AA139="w",$P$46:$P$139,""))+SUM(IF(AA46:AA139="x",$P$46:$P$139,""))+SUM(IF(AA46:AA139="y",$P$46:$P$139,""))+SUM(IF(AA46:AA139="z",$P$46:$P$139,""))</f>
        <v>0</v>
      </c>
      <c r="AB154" s="54">
        <f t="array" ref="AB154">SUM(IF(AB46:AB139="a",$P$46:$P$139,""))+SUM(IF(AB46:AB139="b",$P$46:$P$139,""))+SUM(IF(AB46:AB139="c",$P$46:$P$139,""))+SUM(IF(AB46:AB139="d",$P$46:$P$139,""))+SUM(IF(AB46:AB139="e",$P$46:$P$139,""))+SUM(IF(AB46:AB139="f",$P$46:$P$139,""))+SUM(IF(AB46:AB139="g",$P$46:$P$139,""))+SUM(IF(AB46:AB139="h",$P$46:$P$139,""))+SUM(IF(AB46:AB139="i",$P$46:$P$139,""))+SUM(IF(AB46:AB139="j",$P$46:$P$139,""))+SUM(IF(AB46:AB139="k",$P$46:$P$139,""))+SUM(IF(AB46:AB139="l",$P$46:$P$139,""))+SUM(IF(AB46:AB139="m",$P$46:$P$139,""))+SUM(IF(AB46:AB139="n",$P$46:$P$139,""))+SUM(IF(AB46:AB139="o",$P$46:$P$139,""))+SUM(IF(AB46:AB139="p",$P$46:$P$139,""))+SUM(IF(AB46:AB139="q",$P$46:$P$139,""))+SUM(IF(AB46:AB139="r",$P$46:$P$139,""))+SUM(IF(AB46:AB139="s",$P$46:$P$139,""))+SUM(IF(AB46:AB139="t",$P$46:$P$139,""))+SUM(IF(AB46:AB139="u",$P$46:$P$139,""))+SUM(IF(AB46:AB139="v",$P$46:$P$139,""))+SUM(IF(AB46:AB139="w",$P$46:$P$139,""))+SUM(IF(AB46:AB139="x",$P$46:$P$139,""))+SUM(IF(AB46:AB139="y",$P$46:$P$139,""))+SUM(IF(AB46:AB139="z",$P$46:$P$139,""))</f>
        <v>0</v>
      </c>
      <c r="AC154" s="54">
        <f t="array" ref="AC154">SUM(IF(AC46:AC139="a",$P$46:$P$139,""))+SUM(IF(AC46:AC139="b",$P$46:$P$139,""))+SUM(IF(AC46:AC139="c",$P$46:$P$139,""))+SUM(IF(AC46:AC139="d",$P$46:$P$139,""))+SUM(IF(AC46:AC139="e",$P$46:$P$139,""))+SUM(IF(AC46:AC139="f",$P$46:$P$139,""))+SUM(IF(AC46:AC139="g",$P$46:$P$139,""))+SUM(IF(AC46:AC139="h",$P$46:$P$139,""))+SUM(IF(AC46:AC139="i",$P$46:$P$139,""))+SUM(IF(AC46:AC139="j",$P$46:$P$139,""))+SUM(IF(AC46:AC139="k",$P$46:$P$139,""))+SUM(IF(AC46:AC139="l",$P$46:$P$139,""))+SUM(IF(AC46:AC139="m",$P$46:$P$139,""))+SUM(IF(AC46:AC139="n",$P$46:$P$139,""))+SUM(IF(AC46:AC139="o",$P$46:$P$139,""))+SUM(IF(AC46:AC139="p",$P$46:$P$139,""))+SUM(IF(AC46:AC139="q",$P$46:$P$139,""))+SUM(IF(AC46:AC139="r",$P$46:$P$139,""))+SUM(IF(AC46:AC139="s",$P$46:$P$139,""))+SUM(IF(AC46:AC139="t",$P$46:$P$139,""))+SUM(IF(AC46:AC139="u",$P$46:$P$139,""))+SUM(IF(AC46:AC139="v",$P$46:$P$139,""))+SUM(IF(AC46:AC139="w",$P$46:$P$139,""))+SUM(IF(AC46:AC139="x",$P$46:$P$139,""))+SUM(IF(AC46:AC139="y",$P$46:$P$139,""))+SUM(IF(AC46:AC139="z",$P$46:$P$139,""))</f>
        <v>0</v>
      </c>
      <c r="AD154" t="s">
        <v>256</v>
      </c>
      <c r="AO154" t="s">
        <v>812</v>
      </c>
    </row>
    <row r="155" spans="20:41" ht="24" hidden="1" customHeight="1" x14ac:dyDescent="0.15">
      <c r="T155" s="54">
        <f t="array" ref="T155">SUM(IF(T46:T139="aa",$P$46:$P$139,""))+SUM(IF(T46:T139="bb",$P$46:$P$139,""))+SUM(IF(T46:T139="cc",$P$46:$P$139,""))+SUM(IF(T46:T139="dd",$P$46:$P$139,""))+SUM(IF(T46:T139="ee",$P$46:$P$139,""))+SUM(IF(T46:T139="ff",$P$46:$P$139,""))+SUM(IF(T46:T139="gg",$P$46:$P$139,""))+SUM(IF(T46:T139="hh",$P$46:$P$139,""))+SUM(IF(T46:T139="ii",$P$46:$P$139,""))+SUM(IF(T46:T139="jj",$P$46:$P$139,""))+SUM(IF(T46:T139="kk",$P$46:$P$139,""))+SUM(IF(T46:T139="ll",$P$46:$P$139,""))+SUM(IF(T46:T139="mm",$P$46:$P$139,""))+SUM(IF(T46:T139="nn",$P$46:$P$139,""))+SUM(IF(T46:T139="oo",$P$46:$P$139,""))+SUM(IF(T46:T139="pp",$P$46:$P$139,""))+SUM(IF(T46:T139="qq",$P$46:$P$139,""))+SUM(IF(T46:T139="rr",$P$46:$P$139,""))+SUM(IF(T46:T139="ss",$P$46:$P$139,""))+SUM(IF(T46:T139="tt",$P$46:$P$139,""))+SUM(IF(T46:T139="uu",$P$46:$P$139,""))+SUM(IF(T46:T139="vv",$P$46:$P$139,""))+SUM(IF(T46:T139="ww",$P$46:$P$139,""))+SUM(IF(T46:T139="xx",$P$46:$P$139,""))+SUM(IF(T46:T139="yy",$P$46:$P$139,""))+SUM(IF(T46:T139="zz",$P$46:$P$139,""))</f>
        <v>0</v>
      </c>
      <c r="U155" s="54">
        <f t="array" ref="U155">SUM(IF(U46:U139="aa",$P$46:$P$139,""))+SUM(IF(U46:U139="bb",$P$46:$P$139,""))+SUM(IF(U46:U139="cc",$P$46:$P$139,""))+SUM(IF(U46:U139="dd",$P$46:$P$139,""))+SUM(IF(U46:U139="ee",$P$46:$P$139,""))+SUM(IF(U46:U139="ff",$P$46:$P$139,""))+SUM(IF(U46:U139="gg",$P$46:$P$139,""))+SUM(IF(U46:U139="hh",$P$46:$P$139,""))+SUM(IF(U46:U139="ii",$P$46:$P$139,""))+SUM(IF(U46:U139="jj",$P$46:$P$139,""))+SUM(IF(U46:U139="kk",$P$46:$P$139,""))+SUM(IF(U46:U139="ll",$P$46:$P$139,""))+SUM(IF(U46:U139="mm",$P$46:$P$139,""))+SUM(IF(U46:U139="nn",$P$46:$P$139,""))+SUM(IF(U46:U139="oo",$P$46:$P$139,""))+SUM(IF(U46:U139="pp",$P$46:$P$139,""))+SUM(IF(U46:U139="qq",$P$46:$P$139,""))+SUM(IF(U46:U139="rr",$P$46:$P$139,""))+SUM(IF(U46:U139="ss",$P$46:$P$139,""))+SUM(IF(U46:U139="tt",$P$46:$P$139,""))+SUM(IF(U46:U139="uu",$P$46:$P$139,""))+SUM(IF(U46:U139="vv",$P$46:$P$139,""))+SUM(IF(U46:U139="ww",$P$46:$P$139,""))+SUM(IF(U46:U139="xx",$P$46:$P$139,""))+SUM(IF(U46:U139="yy",$P$46:$P$139,""))+SUM(IF(U46:U139="zz",$P$46:$P$139,""))</f>
        <v>0</v>
      </c>
      <c r="V155" s="54">
        <f t="array" ref="V155">SUM(IF(V46:V139="aa",$P$46:$P$139,""))+SUM(IF(V46:V139="bb",$P$46:$P$139,""))+SUM(IF(V46:V139="cc",$P$46:$P$139,""))+SUM(IF(V46:V139="dd",$P$46:$P$139,""))+SUM(IF(V46:V139="ee",$P$46:$P$139,""))+SUM(IF(V46:V139="ff",$P$46:$P$139,""))+SUM(IF(V46:V139="gg",$P$46:$P$139,""))+SUM(IF(V46:V139="hh",$P$46:$P$139,""))+SUM(IF(V46:V139="ii",$P$46:$P$139,""))+SUM(IF(V46:V139="jj",$P$46:$P$139,""))+SUM(IF(V46:V139="kk",$P$46:$P$139,""))+SUM(IF(V46:V139="ll",$P$46:$P$139,""))+SUM(IF(V46:V139="mm",$P$46:$P$139,""))+SUM(IF(V46:V139="nn",$P$46:$P$139,""))+SUM(IF(V46:V139="oo",$P$46:$P$139,""))+SUM(IF(V46:V139="pp",$P$46:$P$139,""))+SUM(IF(V46:V139="qq",$P$46:$P$139,""))+SUM(IF(V46:V139="rr",$P$46:$P$139,""))+SUM(IF(V46:V139="ss",$P$46:$P$139,""))+SUM(IF(V46:V139="tt",$P$46:$P$139,""))+SUM(IF(V46:V139="uu",$P$46:$P$139,""))+SUM(IF(V46:V139="vv",$P$46:$P$139,""))+SUM(IF(V46:V139="ww",$P$46:$P$139,""))+SUM(IF(V46:V139="xx",$P$46:$P$139,""))+SUM(IF(V46:V139="yy",$P$46:$P$139,""))+SUM(IF(V46:V139="zz",$P$46:$P$139,""))</f>
        <v>0</v>
      </c>
      <c r="W155" s="54">
        <f t="array" ref="W155">SUM(IF(W46:W139="aa",$P$46:$P$139,""))+SUM(IF(W46:W139="bb",$P$46:$P$139,""))+SUM(IF(W46:W139="cc",$P$46:$P$139,""))+SUM(IF(W46:W139="dd",$P$46:$P$139,""))+SUM(IF(W46:W139="ee",$P$46:$P$139,""))+SUM(IF(W46:W139="ff",$P$46:$P$139,""))+SUM(IF(W46:W139="gg",$P$46:$P$139,""))+SUM(IF(W46:W139="hh",$P$46:$P$139,""))+SUM(IF(W46:W139="ii",$P$46:$P$139,""))+SUM(IF(W46:W139="jj",$P$46:$P$139,""))+SUM(IF(W46:W139="kk",$P$46:$P$139,""))+SUM(IF(W46:W139="ll",$P$46:$P$139,""))+SUM(IF(W46:W139="mm",$P$46:$P$139,""))+SUM(IF(W46:W139="nn",$P$46:$P$139,""))+SUM(IF(W46:W139="oo",$P$46:$P$139,""))+SUM(IF(W46:W139="pp",$P$46:$P$139,""))+SUM(IF(W46:W139="qq",$P$46:$P$139,""))+SUM(IF(W46:W139="rr",$P$46:$P$139,""))+SUM(IF(W46:W139="ss",$P$46:$P$139,""))+SUM(IF(W46:W139="tt",$P$46:$P$139,""))+SUM(IF(W46:W139="uu",$P$46:$P$139,""))+SUM(IF(W46:W139="vv",$P$46:$P$139,""))+SUM(IF(W46:W139="ww",$P$46:$P$139,""))+SUM(IF(W46:W139="xx",$P$46:$P$139,""))+SUM(IF(W46:W139="yy",$P$46:$P$139,""))+SUM(IF(W46:W139="zz",$P$46:$P$139,""))</f>
        <v>0</v>
      </c>
      <c r="X155" s="54">
        <f t="array" ref="X155">SUM(IF(X46:X139="aa",$P$46:$P$139,""))+SUM(IF(X46:X139="bb",$P$46:$P$139,""))+SUM(IF(X46:X139="cc",$P$46:$P$139,""))+SUM(IF(X46:X139="dd",$P$46:$P$139,""))+SUM(IF(X46:X139="ee",$P$46:$P$139,""))+SUM(IF(X46:X139="ff",$P$46:$P$139,""))+SUM(IF(X46:X139="gg",$P$46:$P$139,""))+SUM(IF(X46:X139="hh",$P$46:$P$139,""))+SUM(IF(X46:X139="ii",$P$46:$P$139,""))+SUM(IF(X46:X139="jj",$P$46:$P$139,""))+SUM(IF(X46:X139="kk",$P$46:$P$139,""))+SUM(IF(X46:X139="ll",$P$46:$P$139,""))+SUM(IF(X46:X139="mm",$P$46:$P$139,""))+SUM(IF(X46:X139="nn",$P$46:$P$139,""))+SUM(IF(X46:X139="oo",$P$46:$P$139,""))+SUM(IF(X46:X139="pp",$P$46:$P$139,""))+SUM(IF(X46:X139="qq",$P$46:$P$139,""))+SUM(IF(X46:X139="rr",$P$46:$P$139,""))+SUM(IF(X46:X139="ss",$P$46:$P$139,""))+SUM(IF(X46:X139="tt",$P$46:$P$139,""))+SUM(IF(X46:X139="uu",$P$46:$P$139,""))+SUM(IF(X46:X139="vv",$P$46:$P$139,""))+SUM(IF(X46:X139="ww",$P$46:$P$139,""))+SUM(IF(X46:X139="xx",$P$46:$P$139,""))+SUM(IF(X46:X139="yy",$P$46:$P$139,""))+SUM(IF(X46:X139="zz",$P$46:$P$139,""))</f>
        <v>0</v>
      </c>
      <c r="Y155" s="54">
        <f t="array" ref="Y155">SUM(IF(Y46:Y139="aa",$P$46:$P$139,""))+SUM(IF(Y46:Y139="bb",$P$46:$P$139,""))+SUM(IF(Y46:Y139="cc",$P$46:$P$139,""))+SUM(IF(Y46:Y139="dd",$P$46:$P$139,""))+SUM(IF(Y46:Y139="ee",$P$46:$P$139,""))+SUM(IF(Y46:Y139="ff",$P$46:$P$139,""))+SUM(IF(Y46:Y139="gg",$P$46:$P$139,""))+SUM(IF(Y46:Y139="hh",$P$46:$P$139,""))+SUM(IF(Y46:Y139="ii",$P$46:$P$139,""))+SUM(IF(Y46:Y139="jj",$P$46:$P$139,""))+SUM(IF(Y46:Y139="kk",$P$46:$P$139,""))+SUM(IF(Y46:Y139="ll",$P$46:$P$139,""))+SUM(IF(Y46:Y139="mm",$P$46:$P$139,""))+SUM(IF(Y46:Y139="nn",$P$46:$P$139,""))+SUM(IF(Y46:Y139="oo",$P$46:$P$139,""))+SUM(IF(Y46:Y139="pp",$P$46:$P$139,""))+SUM(IF(Y46:Y139="qq",$P$46:$P$139,""))+SUM(IF(Y46:Y139="rr",$P$46:$P$139,""))+SUM(IF(Y46:Y139="ss",$P$46:$P$139,""))+SUM(IF(Y46:Y139="tt",$P$46:$P$139,""))+SUM(IF(Y46:Y139="uu",$P$46:$P$139,""))+SUM(IF(Y46:Y139="vv",$P$46:$P$139,""))+SUM(IF(Y46:Y139="ww",$P$46:$P$139,""))+SUM(IF(Y46:Y139="xx",$P$46:$P$139,""))+SUM(IF(Y46:Y139="yy",$P$46:$P$139,""))+SUM(IF(Y46:Y139="zz",$P$46:$P$139,""))</f>
        <v>0</v>
      </c>
      <c r="Z155" s="54">
        <f t="array" ref="Z155">SUM(IF(Z46:Z139="aa",$P$46:$P$139,""))+SUM(IF(Z46:Z139="bb",$P$46:$P$139,""))+SUM(IF(Z46:Z139="cc",$P$46:$P$139,""))+SUM(IF(Z46:Z139="dd",$P$46:$P$139,""))+SUM(IF(Z46:Z139="ee",$P$46:$P$139,""))+SUM(IF(Z46:Z139="ff",$P$46:$P$139,""))+SUM(IF(Z46:Z139="gg",$P$46:$P$139,""))+SUM(IF(Z46:Z139="hh",$P$46:$P$139,""))+SUM(IF(Z46:Z139="ii",$P$46:$P$139,""))+SUM(IF(Z46:Z139="jj",$P$46:$P$139,""))+SUM(IF(Z46:Z139="kk",$P$46:$P$139,""))+SUM(IF(Z46:Z139="ll",$P$46:$P$139,""))+SUM(IF(Z46:Z139="mm",$P$46:$P$139,""))+SUM(IF(Z46:Z139="nn",$P$46:$P$139,""))+SUM(IF(Z46:Z139="oo",$P$46:$P$139,""))+SUM(IF(Z46:Z139="pp",$P$46:$P$139,""))+SUM(IF(Z46:Z139="qq",$P$46:$P$139,""))+SUM(IF(Z46:Z139="rr",$P$46:$P$139,""))+SUM(IF(Z46:Z139="ss",$P$46:$P$139,""))+SUM(IF(Z46:Z139="tt",$P$46:$P$139,""))+SUM(IF(Z46:Z139="uu",$P$46:$P$139,""))+SUM(IF(Z46:Z139="vv",$P$46:$P$139,""))+SUM(IF(Z46:Z139="ww",$P$46:$P$139,""))+SUM(IF(Z46:Z139="xx",$P$46:$P$139,""))+SUM(IF(Z46:Z139="yy",$P$46:$P$139,""))+SUM(IF(Z46:Z139="zz",$P$46:$P$139,""))</f>
        <v>0</v>
      </c>
      <c r="AA155" s="54">
        <f t="array" ref="AA155">SUM(IF(AA46:AA139="aa",$P$46:$P$139,""))+SUM(IF(AA46:AA139="bb",$P$46:$P$139,""))+SUM(IF(AA46:AA139="cc",$P$46:$P$139,""))+SUM(IF(AA46:AA139="dd",$P$46:$P$139,""))+SUM(IF(AA46:AA139="ee",$P$46:$P$139,""))+SUM(IF(AA46:AA139="ff",$P$46:$P$139,""))+SUM(IF(AA46:AA139="gg",$P$46:$P$139,""))+SUM(IF(AA46:AA139="hh",$P$46:$P$139,""))+SUM(IF(AA46:AA139="ii",$P$46:$P$139,""))+SUM(IF(AA46:AA139="jj",$P$46:$P$139,""))+SUM(IF(AA46:AA139="kk",$P$46:$P$139,""))+SUM(IF(AA46:AA139="ll",$P$46:$P$139,""))+SUM(IF(AA46:AA139="mm",$P$46:$P$139,""))+SUM(IF(AA46:AA139="nn",$P$46:$P$139,""))+SUM(IF(AA46:AA139="oo",$P$46:$P$139,""))+SUM(IF(AA46:AA139="pp",$P$46:$P$139,""))+SUM(IF(AA46:AA139="qq",$P$46:$P$139,""))+SUM(IF(AA46:AA139="rr",$P$46:$P$139,""))+SUM(IF(AA46:AA139="ss",$P$46:$P$139,""))+SUM(IF(AA46:AA139="tt",$P$46:$P$139,""))+SUM(IF(AA46:AA139="uu",$P$46:$P$139,""))+SUM(IF(AA46:AA139="vv",$P$46:$P$139,""))+SUM(IF(AA46:AA139="ww",$P$46:$P$139,""))+SUM(IF(AA46:AA139="xx",$P$46:$P$139,""))+SUM(IF(AA46:AA139="yy",$P$46:$P$139,""))+SUM(IF(AA46:AA139="zz",$P$46:$P$139,""))</f>
        <v>0</v>
      </c>
      <c r="AB155" s="54">
        <f t="array" ref="AB155">SUM(IF(AB46:AB139="aa",$P$46:$P$139,""))+SUM(IF(AB46:AB139="bb",$P$46:$P$139,""))+SUM(IF(AB46:AB139="cc",$P$46:$P$139,""))+SUM(IF(AB46:AB139="dd",$P$46:$P$139,""))+SUM(IF(AB46:AB139="ee",$P$46:$P$139,""))+SUM(IF(AB46:AB139="ff",$P$46:$P$139,""))+SUM(IF(AB46:AB139="gg",$P$46:$P$139,""))+SUM(IF(AB46:AB139="hh",$P$46:$P$139,""))+SUM(IF(AB46:AB139="ii",$P$46:$P$139,""))+SUM(IF(AB46:AB139="jj",$P$46:$P$139,""))+SUM(IF(AB46:AB139="kk",$P$46:$P$139,""))+SUM(IF(AB46:AB139="ll",$P$46:$P$139,""))+SUM(IF(AB46:AB139="mm",$P$46:$P$139,""))+SUM(IF(AB46:AB139="nn",$P$46:$P$139,""))+SUM(IF(AB46:AB139="oo",$P$46:$P$139,""))+SUM(IF(AB46:AB139="pp",$P$46:$P$139,""))+SUM(IF(AB46:AB139="qq",$P$46:$P$139,""))+SUM(IF(AB46:AB139="rr",$P$46:$P$139,""))+SUM(IF(AB46:AB139="ss",$P$46:$P$139,""))+SUM(IF(AB46:AB139="tt",$P$46:$P$139,""))+SUM(IF(AB46:AB139="uu",$P$46:$P$139,""))+SUM(IF(AB46:AB139="vv",$P$46:$P$139,""))+SUM(IF(AB46:AB139="ww",$P$46:$P$139,""))+SUM(IF(AB46:AB139="xx",$P$46:$P$139,""))+SUM(IF(AB46:AB139="yy",$P$46:$P$139,""))+SUM(IF(AB46:AB139="zz",$P$46:$P$139,""))</f>
        <v>0</v>
      </c>
      <c r="AC155" s="54">
        <f t="array" ref="AC155">SUM(IF(AC46:AC139="aa",$P$46:$P$139,""))+SUM(IF(AC46:AC139="bb",$P$46:$P$139,""))+SUM(IF(AC46:AC139="cc",$P$46:$P$139,""))+SUM(IF(AC46:AC139="dd",$P$46:$P$139,""))+SUM(IF(AC46:AC139="ee",$P$46:$P$139,""))+SUM(IF(AC46:AC139="ff",$P$46:$P$139,""))+SUM(IF(AC46:AC139="gg",$P$46:$P$139,""))+SUM(IF(AC46:AC139="hh",$P$46:$P$139,""))+SUM(IF(AC46:AC139="ii",$P$46:$P$139,""))+SUM(IF(AC46:AC139="jj",$P$46:$P$139,""))+SUM(IF(AC46:AC139="kk",$P$46:$P$139,""))+SUM(IF(AC46:AC139="ll",$P$46:$P$139,""))+SUM(IF(AC46:AC139="mm",$P$46:$P$139,""))+SUM(IF(AC46:AC139="nn",$P$46:$P$139,""))+SUM(IF(AC46:AC139="oo",$P$46:$P$139,""))+SUM(IF(AC46:AC139="pp",$P$46:$P$139,""))+SUM(IF(AC46:AC139="qq",$P$46:$P$139,""))+SUM(IF(AC46:AC139="rr",$P$46:$P$139,""))+SUM(IF(AC46:AC139="ss",$P$46:$P$139,""))+SUM(IF(AC46:AC139="tt",$P$46:$P$139,""))+SUM(IF(AC46:AC139="uu",$P$46:$P$139,""))+SUM(IF(AC46:AC139="vv",$P$46:$P$139,""))+SUM(IF(AC46:AC139="ww",$P$46:$P$139,""))+SUM(IF(AC46:AC139="xx",$P$46:$P$139,""))+SUM(IF(AC46:AC139="yy",$P$46:$P$139,""))+SUM(IF(AC46:AC139="zz",$P$46:$P$139,""))</f>
        <v>0</v>
      </c>
      <c r="AD155" t="s">
        <v>257</v>
      </c>
      <c r="AO155" t="s">
        <v>813</v>
      </c>
    </row>
    <row r="156" spans="20:41" ht="24" hidden="1" customHeight="1" x14ac:dyDescent="0.15">
      <c r="T156" s="54">
        <f t="array" ref="T156">SUM(IF(T46:T139="aaa",$P$46:$P$139,""))+SUM(IF(T46:T139="bbb",$P$46:$P$139,""))+SUM(IF(T46:T139="ccc",$P$46:$P$139,""))+SUM(IF(T46:T139="ddd",$P$46:$P$139,""))+SUM(IF(T46:T139="eee",$P$46:$P$139,""))+SUM(IF(T46:T139="fff",$P$46:$P$139,""))+SUM(IF(T46:T139="ggg",$P$46:$P$139,""))+SUM(IF(T46:T139="hhh",$P$46:$P$139,""))+SUM(IF(T46:T139="iii",$P$46:$P$139,""))+SUM(IF(T46:T139="jjj",$P$46:$P$139,""))+SUM(IF(T46:T139="kkk",$P$46:$P$139,""))+SUM(IF(T46:T139="lll",$P$46:$P$139,""))+SUM(IF(T46:T139="mmm",$P$46:$P$139,""))+SUM(IF(T46:T139="nnn",$P$46:$P$139,""))+SUM(IF(T46:T139="ooo",$P$46:$P$139,""))+SUM(IF(T46:T139="ppp",$P$46:$P$139,""))+SUM(IF(T46:T139="qqq",$P$46:$P$139,""))+SUM(IF(T46:T139="rrr",$P$46:$P$139,""))+SUM(IF(T46:T139="sss",$P$46:$P$139,""))+SUM(IF(T46:T139="ttt",$P$46:$P$139,""))+SUM(IF(T46:T139="uuu",$P$46:$P$139,""))+SUM(IF(T46:T139="vvv",$P$46:$P$139,""))+SUM(IF(T46:T139="www",$P$46:$P$139,""))+SUM(IF(T46:T139="xxx",$P$46:$P$139,""))+SUM(IF(T46:T139="yyy",$P$46:$P$139,""))+SUM(IF(T46:T139="zzz",$P$46:$P$139,""))</f>
        <v>0</v>
      </c>
      <c r="U156" s="54">
        <f t="array" ref="U156">SUM(IF(U46:U139="aaa",$P$46:$P$139,""))+SUM(IF(U46:U139="bbb",$P$46:$P$139,""))+SUM(IF(U46:U139="ccc",$P$46:$P$139,""))+SUM(IF(U46:U139="ddd",$P$46:$P$139,""))+SUM(IF(U46:U139="eee",$P$46:$P$139,""))+SUM(IF(U46:U139="fff",$P$46:$P$139,""))+SUM(IF(U46:U139="ggg",$P$46:$P$139,""))+SUM(IF(U46:U139="hhh",$P$46:$P$139,""))+SUM(IF(U46:U139="iii",$P$46:$P$139,""))+SUM(IF(U46:U139="jjj",$P$46:$P$139,""))+SUM(IF(U46:U139="kkk",$P$46:$P$139,""))+SUM(IF(U46:U139="lll",$P$46:$P$139,""))+SUM(IF(U46:U139="mmm",$P$46:$P$139,""))+SUM(IF(U46:U139="nnn",$P$46:$P$139,""))+SUM(IF(U46:U139="ooo",$P$46:$P$139,""))+SUM(IF(U46:U139="ppp",$P$46:$P$139,""))+SUM(IF(U46:U139="qqq",$P$46:$P$139,""))+SUM(IF(U46:U139="rrr",$P$46:$P$139,""))+SUM(IF(U46:U139="sss",$P$46:$P$139,""))+SUM(IF(U46:U139="ttt",$P$46:$P$139,""))+SUM(IF(U46:U139="uuu",$P$46:$P$139,""))+SUM(IF(U46:U139="vvv",$P$46:$P$139,""))+SUM(IF(U46:U139="www",$P$46:$P$139,""))+SUM(IF(U46:U139="xxx",$P$46:$P$139,""))+SUM(IF(U46:U139="yyy",$P$46:$P$139,""))+SUM(IF(U46:U139="zzz",$P$46:$P$139,""))</f>
        <v>0</v>
      </c>
      <c r="V156" s="54">
        <f t="array" ref="V156">SUM(IF(V46:V139="aaa",$P$46:$P$139,""))+SUM(IF(V46:V139="bbb",$P$46:$P$139,""))+SUM(IF(V46:V139="ccc",$P$46:$P$139,""))+SUM(IF(V46:V139="ddd",$P$46:$P$139,""))+SUM(IF(V46:V139="eee",$P$46:$P$139,""))+SUM(IF(V46:V139="fff",$P$46:$P$139,""))+SUM(IF(V46:V139="ggg",$P$46:$P$139,""))+SUM(IF(V46:V139="hhh",$P$46:$P$139,""))+SUM(IF(V46:V139="iii",$P$46:$P$139,""))+SUM(IF(V46:V139="jjj",$P$46:$P$139,""))+SUM(IF(V46:V139="kkk",$P$46:$P$139,""))+SUM(IF(V46:V139="lll",$P$46:$P$139,""))+SUM(IF(V46:V139="mmm",$P$46:$P$139,""))+SUM(IF(V46:V139="nnn",$P$46:$P$139,""))+SUM(IF(V46:V139="ooo",$P$46:$P$139,""))+SUM(IF(V46:V139="ppp",$P$46:$P$139,""))+SUM(IF(V46:V139="qqq",$P$46:$P$139,""))+SUM(IF(V46:V139="rrr",$P$46:$P$139,""))+SUM(IF(V46:V139="sss",$P$46:$P$139,""))+SUM(IF(V46:V139="ttt",$P$46:$P$139,""))+SUM(IF(V46:V139="uuu",$P$46:$P$139,""))+SUM(IF(V46:V139="vvv",$P$46:$P$139,""))+SUM(IF(V46:V139="www",$P$46:$P$139,""))+SUM(IF(V46:V139="xxx",$P$46:$P$139,""))+SUM(IF(V46:V139="yyy",$P$46:$P$139,""))+SUM(IF(V46:V139="zzz",$P$46:$P$139,""))</f>
        <v>0</v>
      </c>
      <c r="W156" s="54">
        <f t="array" ref="W156">SUM(IF(W46:W139="aaa",$P$46:$P$139,""))+SUM(IF(W46:W139="bbb",$P$46:$P$139,""))+SUM(IF(W46:W139="ccc",$P$46:$P$139,""))+SUM(IF(W46:W139="ddd",$P$46:$P$139,""))+SUM(IF(W46:W139="eee",$P$46:$P$139,""))+SUM(IF(W46:W139="fff",$P$46:$P$139,""))+SUM(IF(W46:W139="ggg",$P$46:$P$139,""))+SUM(IF(W46:W139="hhh",$P$46:$P$139,""))+SUM(IF(W46:W139="iii",$P$46:$P$139,""))+SUM(IF(W46:W139="jjj",$P$46:$P$139,""))+SUM(IF(W46:W139="kkk",$P$46:$P$139,""))+SUM(IF(W46:W139="lll",$P$46:$P$139,""))+SUM(IF(W46:W139="mmm",$P$46:$P$139,""))+SUM(IF(W46:W139="nnn",$P$46:$P$139,""))+SUM(IF(W46:W139="ooo",$P$46:$P$139,""))+SUM(IF(W46:W139="ppp",$P$46:$P$139,""))+SUM(IF(W46:W139="qqq",$P$46:$P$139,""))+SUM(IF(W46:W139="rrr",$P$46:$P$139,""))+SUM(IF(W46:W139="sss",$P$46:$P$139,""))+SUM(IF(W46:W139="ttt",$P$46:$P$139,""))+SUM(IF(W46:W139="uuu",$P$46:$P$139,""))+SUM(IF(W46:W139="vvv",$P$46:$P$139,""))+SUM(IF(W46:W139="www",$P$46:$P$139,""))+SUM(IF(W46:W139="xxx",$P$46:$P$139,""))+SUM(IF(W46:W139="yyy",$P$46:$P$139,""))+SUM(IF(W46:W139="zzz",$P$46:$P$139,""))</f>
        <v>0</v>
      </c>
      <c r="X156" s="54">
        <f t="array" ref="X156">SUM(IF(X46:X139="aaa",$P$46:$P$139,""))+SUM(IF(X46:X139="bbb",$P$46:$P$139,""))+SUM(IF(X46:X139="ccc",$P$46:$P$139,""))+SUM(IF(X46:X139="ddd",$P$46:$P$139,""))+SUM(IF(X46:X139="eee",$P$46:$P$139,""))+SUM(IF(X46:X139="fff",$P$46:$P$139,""))+SUM(IF(X46:X139="ggg",$P$46:$P$139,""))+SUM(IF(X46:X139="hhh",$P$46:$P$139,""))+SUM(IF(X46:X139="iii",$P$46:$P$139,""))+SUM(IF(X46:X139="jjj",$P$46:$P$139,""))+SUM(IF(X46:X139="kkk",$P$46:$P$139,""))+SUM(IF(X46:X139="lll",$P$46:$P$139,""))+SUM(IF(X46:X139="mmm",$P$46:$P$139,""))+SUM(IF(X46:X139="nnn",$P$46:$P$139,""))+SUM(IF(X46:X139="ooo",$P$46:$P$139,""))+SUM(IF(X46:X139="ppp",$P$46:$P$139,""))+SUM(IF(X46:X139="qqq",$P$46:$P$139,""))+SUM(IF(X46:X139="rrr",$P$46:$P$139,""))+SUM(IF(X46:X139="sss",$P$46:$P$139,""))+SUM(IF(X46:X139="ttt",$P$46:$P$139,""))+SUM(IF(X46:X139="uuu",$P$46:$P$139,""))+SUM(IF(X46:X139="vvv",$P$46:$P$139,""))+SUM(IF(X46:X139="www",$P$46:$P$139,""))+SUM(IF(X46:X139="xxx",$P$46:$P$139,""))+SUM(IF(X46:X139="yyy",$P$46:$P$139,""))+SUM(IF(X46:X139="zzz",$P$46:$P$139,""))</f>
        <v>0</v>
      </c>
      <c r="Y156" s="54">
        <f t="array" ref="Y156">SUM(IF(Y46:Y139="aaa",$P$46:$P$139,""))+SUM(IF(Y46:Y139="bbb",$P$46:$P$139,""))+SUM(IF(Y46:Y139="ccc",$P$46:$P$139,""))+SUM(IF(Y46:Y139="ddd",$P$46:$P$139,""))+SUM(IF(Y46:Y139="eee",$P$46:$P$139,""))+SUM(IF(Y46:Y139="fff",$P$46:$P$139,""))+SUM(IF(Y46:Y139="ggg",$P$46:$P$139,""))+SUM(IF(Y46:Y139="hhh",$P$46:$P$139,""))+SUM(IF(Y46:Y139="iii",$P$46:$P$139,""))+SUM(IF(Y46:Y139="jjj",$P$46:$P$139,""))+SUM(IF(Y46:Y139="kkk",$P$46:$P$139,""))+SUM(IF(Y46:Y139="lll",$P$46:$P$139,""))+SUM(IF(Y46:Y139="mmm",$P$46:$P$139,""))+SUM(IF(Y46:Y139="nnn",$P$46:$P$139,""))+SUM(IF(Y46:Y139="ooo",$P$46:$P$139,""))+SUM(IF(Y46:Y139="ppp",$P$46:$P$139,""))+SUM(IF(Y46:Y139="qqq",$P$46:$P$139,""))+SUM(IF(Y46:Y139="rrr",$P$46:$P$139,""))+SUM(IF(Y46:Y139="sss",$P$46:$P$139,""))+SUM(IF(Y46:Y139="ttt",$P$46:$P$139,""))+SUM(IF(Y46:Y139="uuu",$P$46:$P$139,""))+SUM(IF(Y46:Y139="vvv",$P$46:$P$139,""))+SUM(IF(Y46:Y139="www",$P$46:$P$139,""))+SUM(IF(Y46:Y139="xxx",$P$46:$P$139,""))+SUM(IF(Y46:Y139="yyy",$P$46:$P$139,""))+SUM(IF(Y46:Y139="zzz",$P$46:$P$139,""))</f>
        <v>0</v>
      </c>
      <c r="Z156" s="54">
        <f t="array" ref="Z156">SUM(IF(Z46:Z139="aaa",$P$46:$P$139,""))+SUM(IF(Z46:Z139="bbb",$P$46:$P$139,""))+SUM(IF(Z46:Z139="ccc",$P$46:$P$139,""))+SUM(IF(Z46:Z139="ddd",$P$46:$P$139,""))+SUM(IF(Z46:Z139="eee",$P$46:$P$139,""))+SUM(IF(Z46:Z139="fff",$P$46:$P$139,""))+SUM(IF(Z46:Z139="ggg",$P$46:$P$139,""))+SUM(IF(Z46:Z139="hhh",$P$46:$P$139,""))+SUM(IF(Z46:Z139="iii",$P$46:$P$139,""))+SUM(IF(Z46:Z139="jjj",$P$46:$P$139,""))+SUM(IF(Z46:Z139="kkk",$P$46:$P$139,""))+SUM(IF(Z46:Z139="lll",$P$46:$P$139,""))+SUM(IF(Z46:Z139="mmm",$P$46:$P$139,""))+SUM(IF(Z46:Z139="nnn",$P$46:$P$139,""))+SUM(IF(Z46:Z139="ooo",$P$46:$P$139,""))+SUM(IF(Z46:Z139="ppp",$P$46:$P$139,""))+SUM(IF(Z46:Z139="qqq",$P$46:$P$139,""))+SUM(IF(Z46:Z139="rrr",$P$46:$P$139,""))+SUM(IF(Z46:Z139="sss",$P$46:$P$139,""))+SUM(IF(Z46:Z139="ttt",$P$46:$P$139,""))+SUM(IF(Z46:Z139="uuu",$P$46:$P$139,""))+SUM(IF(Z46:Z139="vvv",$P$46:$P$139,""))+SUM(IF(Z46:Z139="www",$P$46:$P$139,""))+SUM(IF(Z46:Z139="xxx",$P$46:$P$139,""))+SUM(IF(Z46:Z139="yyy",$P$46:$P$139,""))+SUM(IF(Z46:Z139="zzz",$P$46:$P$139,""))</f>
        <v>0</v>
      </c>
      <c r="AA156" s="54">
        <f t="array" ref="AA156">SUM(IF(AA46:AA139="aaa",$P$46:$P$139,""))+SUM(IF(AA46:AA139="bbb",$P$46:$P$139,""))+SUM(IF(AA46:AA139="ccc",$P$46:$P$139,""))+SUM(IF(AA46:AA139="ddd",$P$46:$P$139,""))+SUM(IF(AA46:AA139="eee",$P$46:$P$139,""))+SUM(IF(AA46:AA139="fff",$P$46:$P$139,""))+SUM(IF(AA46:AA139="ggg",$P$46:$P$139,""))+SUM(IF(AA46:AA139="hhh",$P$46:$P$139,""))+SUM(IF(AA46:AA139="iii",$P$46:$P$139,""))+SUM(IF(AA46:AA139="jjj",$P$46:$P$139,""))+SUM(IF(AA46:AA139="kkk",$P$46:$P$139,""))+SUM(IF(AA46:AA139="lll",$P$46:$P$139,""))+SUM(IF(AA46:AA139="mmm",$P$46:$P$139,""))+SUM(IF(AA46:AA139="nnn",$P$46:$P$139,""))+SUM(IF(AA46:AA139="ooo",$P$46:$P$139,""))+SUM(IF(AA46:AA139="ppp",$P$46:$P$139,""))+SUM(IF(AA46:AA139="qqq",$P$46:$P$139,""))+SUM(IF(AA46:AA139="rrr",$P$46:$P$139,""))+SUM(IF(AA46:AA139="sss",$P$46:$P$139,""))+SUM(IF(AA46:AA139="ttt",$P$46:$P$139,""))+SUM(IF(AA46:AA139="uuu",$P$46:$P$139,""))+SUM(IF(AA46:AA139="vvv",$P$46:$P$139,""))+SUM(IF(AA46:AA139="www",$P$46:$P$139,""))+SUM(IF(AA46:AA139="xxx",$P$46:$P$139,""))+SUM(IF(AA46:AA139="yyy",$P$46:$P$139,""))+SUM(IF(AA46:AA139="zzz",$P$46:$P$139,""))</f>
        <v>0</v>
      </c>
      <c r="AB156" s="54">
        <f t="array" ref="AB156">SUM(IF(AB46:AB139="aaa",$P$46:$P$139,""))+SUM(IF(AB46:AB139="bbb",$P$46:$P$139,""))+SUM(IF(AB46:AB139="ccc",$P$46:$P$139,""))+SUM(IF(AB46:AB139="ddd",$P$46:$P$139,""))+SUM(IF(AB46:AB139="eee",$P$46:$P$139,""))+SUM(IF(AB46:AB139="fff",$P$46:$P$139,""))+SUM(IF(AB46:AB139="ggg",$P$46:$P$139,""))+SUM(IF(AB46:AB139="hhh",$P$46:$P$139,""))+SUM(IF(AB46:AB139="iii",$P$46:$P$139,""))+SUM(IF(AB46:AB139="jjj",$P$46:$P$139,""))+SUM(IF(AB46:AB139="kkk",$P$46:$P$139,""))+SUM(IF(AB46:AB139="lll",$P$46:$P$139,""))+SUM(IF(AB46:AB139="mmm",$P$46:$P$139,""))+SUM(IF(AB46:AB139="nnn",$P$46:$P$139,""))+SUM(IF(AB46:AB139="ooo",$P$46:$P$139,""))+SUM(IF(AB46:AB139="ppp",$P$46:$P$139,""))+SUM(IF(AB46:AB139="qqq",$P$46:$P$139,""))+SUM(IF(AB46:AB139="rrr",$P$46:$P$139,""))+SUM(IF(AB46:AB139="sss",$P$46:$P$139,""))+SUM(IF(AB46:AB139="ttt",$P$46:$P$139,""))+SUM(IF(AB46:AB139="uuu",$P$46:$P$139,""))+SUM(IF(AB46:AB139="vvv",$P$46:$P$139,""))+SUM(IF(AB46:AB139="www",$P$46:$P$139,""))+SUM(IF(AB46:AB139="xxx",$P$46:$P$139,""))+SUM(IF(AB46:AB139="yyy",$P$46:$P$139,""))+SUM(IF(AB46:AB139="zzz",$P$46:$P$139,""))</f>
        <v>0</v>
      </c>
      <c r="AC156" s="54">
        <f t="array" ref="AC156">SUM(IF(AC46:AC139="aaa",$P$46:$P$139,""))+SUM(IF(AC46:AC139="bbb",$P$46:$P$139,""))+SUM(IF(AC46:AC139="ccc",$P$46:$P$139,""))+SUM(IF(AC46:AC139="ddd",$P$46:$P$139,""))+SUM(IF(AC46:AC139="eee",$P$46:$P$139,""))+SUM(IF(AC46:AC139="fff",$P$46:$P$139,""))+SUM(IF(AC46:AC139="ggg",$P$46:$P$139,""))+SUM(IF(AC46:AC139="hhh",$P$46:$P$139,""))+SUM(IF(AC46:AC139="iii",$P$46:$P$139,""))+SUM(IF(AC46:AC139="jjj",$P$46:$P$139,""))+SUM(IF(AC46:AC139="kkk",$P$46:$P$139,""))+SUM(IF(AC46:AC139="lll",$P$46:$P$139,""))+SUM(IF(AC46:AC139="mmm",$P$46:$P$139,""))+SUM(IF(AC46:AC139="nnn",$P$46:$P$139,""))+SUM(IF(AC46:AC139="ooo",$P$46:$P$139,""))+SUM(IF(AC46:AC139="ppp",$P$46:$P$139,""))+SUM(IF(AC46:AC139="qqq",$P$46:$P$139,""))+SUM(IF(AC46:AC139="rrr",$P$46:$P$139,""))+SUM(IF(AC46:AC139="sss",$P$46:$P$139,""))+SUM(IF(AC46:AC139="ttt",$P$46:$P$139,""))+SUM(IF(AC46:AC139="uuu",$P$46:$P$139,""))+SUM(IF(AC46:AC139="vvv",$P$46:$P$139,""))+SUM(IF(AC46:AC139="www",$P$46:$P$139,""))+SUM(IF(AC46:AC139="xxx",$P$46:$P$139,""))+SUM(IF(AC46:AC139="yyy",$P$46:$P$139,""))+SUM(IF(AC46:AC139="zzz",$P$46:$P$139,""))</f>
        <v>0</v>
      </c>
      <c r="AD156" t="s">
        <v>258</v>
      </c>
      <c r="AO156" t="s">
        <v>814</v>
      </c>
    </row>
    <row r="157" spans="20:41" ht="24" hidden="1" customHeight="1" x14ac:dyDescent="0.15">
      <c r="T157" s="54">
        <f t="array" ref="T157">SUM(IF(T46:T139="aaaa",$P$46:$P$139,""))+SUM(IF(T46:T139="bbbb",$P$46:$P$139,""))+SUM(IF(T46:T139="cccc",$P$46:$P$139,""))+SUM(IF(T46:T139="dddd",$P$46:$P$139,""))+SUM(IF(T46:T139="eeee",$P$46:$P$139,""))+SUM(IF(T46:T139="ffff",$P$46:$P$139,""))+SUM(IF(T46:T139="gggg",$P$46:$P$139,""))+SUM(IF(T46:T139="hhhh",$P$46:$P$139,""))+SUM(IF(T46:T139="iiii",$P$46:$P$139,""))+SUM(IF(T46:T139="jjjj",$P$46:$P$139,""))+SUM(IF(T46:T139="kkkk",$P$46:$P$139,""))+SUM(IF(T46:T139="llll",$P$46:$P$139,""))+SUM(IF(T46:T139="mmmm",$P$46:$P$139,""))+SUM(IF(T46:T139="nnnn",$P$46:$P$139,""))+SUM(IF(T46:T139="oooo",$P$46:$P$139,""))+SUM(IF(T46:T139="pppp",$P$46:$P$139,""))</f>
        <v>0</v>
      </c>
      <c r="U157" s="54">
        <f t="array" ref="U157">SUM(IF(U46:U139="aaaa",$P$46:$P$139,""))+SUM(IF(U46:U139="bbbb",$P$46:$P$139,""))+SUM(IF(U46:U139="cccc",$P$46:$P$139,""))+SUM(IF(U46:U139="dddd",$P$46:$P$139,""))+SUM(IF(U46:U139="eeee",$P$46:$P$139,""))+SUM(IF(U46:U139="ffff",$P$46:$P$139,""))+SUM(IF(U46:U139="gggg",$P$46:$P$139,""))+SUM(IF(U46:U139="hhhh",$P$46:$P$139,""))+SUM(IF(U46:U139="iiii",$P$46:$P$139,""))+SUM(IF(U46:U139="jjjj",$P$46:$P$139,""))+SUM(IF(U46:U139="kkkk",$P$46:$P$139,""))+SUM(IF(U46:U139="llll",$P$46:$P$139,""))+SUM(IF(U46:U139="mmmm",$P$46:$P$139,""))+SUM(IF(U46:U139="nnnn",$P$46:$P$139,""))+SUM(IF(U46:U139="oooo",$P$46:$P$139,""))+SUM(IF(U46:U139="pppp",$P$46:$P$139,""))</f>
        <v>0</v>
      </c>
      <c r="V157" s="54">
        <f t="array" ref="V157">SUM(IF(V46:V139="aaaa",$P$46:$P$139,""))+SUM(IF(V46:V139="bbbb",$P$46:$P$139,""))+SUM(IF(V46:V139="cccc",$P$46:$P$139,""))+SUM(IF(V46:V139="dddd",$P$46:$P$139,""))+SUM(IF(V46:V139="eeee",$P$46:$P$139,""))+SUM(IF(V46:V139="ffff",$P$46:$P$139,""))+SUM(IF(V46:V139="gggg",$P$46:$P$139,""))+SUM(IF(V46:V139="hhhh",$P$46:$P$139,""))+SUM(IF(V46:V139="iiii",$P$46:$P$139,""))+SUM(IF(V46:V139="jjjj",$P$46:$P$139,""))+SUM(IF(V46:V139="kkkk",$P$46:$P$139,""))+SUM(IF(V46:V139="llll",$P$46:$P$139,""))+SUM(IF(V46:V139="mmmm",$P$46:$P$139,""))+SUM(IF(V46:V139="nnnn",$P$46:$P$139,""))+SUM(IF(V46:V139="oooo",$P$46:$P$139,""))+SUM(IF(V46:V139="pppp",$P$46:$P$139,""))</f>
        <v>0</v>
      </c>
      <c r="W157" s="54">
        <f t="array" ref="W157">SUM(IF(W46:W139="aaaa",$P$46:$P$139,""))+SUM(IF(W46:W139="bbbb",$P$46:$P$139,""))+SUM(IF(W46:W139="cccc",$P$46:$P$139,""))+SUM(IF(W46:W139="dddd",$P$46:$P$139,""))+SUM(IF(W46:W139="eeee",$P$46:$P$139,""))+SUM(IF(W46:W139="ffff",$P$46:$P$139,""))+SUM(IF(W46:W139="gggg",$P$46:$P$139,""))+SUM(IF(W46:W139="hhhh",$P$46:$P$139,""))+SUM(IF(W46:W139="iiii",$P$46:$P$139,""))+SUM(IF(W46:W139="jjjj",$P$46:$P$139,""))+SUM(IF(W46:W139="kkkk",$P$46:$P$139,""))+SUM(IF(W46:W139="llll",$P$46:$P$139,""))+SUM(IF(W46:W139="mmmm",$P$46:$P$139,""))+SUM(IF(W46:W139="nnnn",$P$46:$P$139,""))+SUM(IF(W46:W139="oooo",$P$46:$P$139,""))+SUM(IF(W46:W139="pppp",$P$46:$P$139,""))</f>
        <v>0</v>
      </c>
      <c r="X157" s="54">
        <f t="array" ref="X157">SUM(IF(X46:X139="aaaa",$P$46:$P$139,""))+SUM(IF(X46:X139="bbbb",$P$46:$P$139,""))+SUM(IF(X46:X139="cccc",$P$46:$P$139,""))+SUM(IF(X46:X139="dddd",$P$46:$P$139,""))+SUM(IF(X46:X139="eeee",$P$46:$P$139,""))+SUM(IF(X46:X139="ffff",$P$46:$P$139,""))+SUM(IF(X46:X139="gggg",$P$46:$P$139,""))+SUM(IF(X46:X139="hhhh",$P$46:$P$139,""))+SUM(IF(X46:X139="iiii",$P$46:$P$139,""))+SUM(IF(X46:X139="jjjj",$P$46:$P$139,""))+SUM(IF(X46:X139="kkkk",$P$46:$P$139,""))+SUM(IF(X46:X139="llll",$P$46:$P$139,""))+SUM(IF(X46:X139="mmmm",$P$46:$P$139,""))+SUM(IF(X46:X139="nnnn",$P$46:$P$139,""))+SUM(IF(X46:X139="oooo",$P$46:$P$139,""))+SUM(IF(X46:X139="pppp",$P$46:$P$139,""))</f>
        <v>0</v>
      </c>
      <c r="Y157" s="54">
        <f t="array" ref="Y157">SUM(IF(Y46:Y139="aaaa",$P$46:$P$139,""))+SUM(IF(Y46:Y139="bbbb",$P$46:$P$139,""))+SUM(IF(Y46:Y139="cccc",$P$46:$P$139,""))+SUM(IF(Y46:Y139="dddd",$P$46:$P$139,""))+SUM(IF(Y46:Y139="eeee",$P$46:$P$139,""))+SUM(IF(Y46:Y139="ffff",$P$46:$P$139,""))+SUM(IF(Y46:Y139="gggg",$P$46:$P$139,""))+SUM(IF(Y46:Y139="hhhh",$P$46:$P$139,""))+SUM(IF(Y46:Y139="iiii",$P$46:$P$139,""))+SUM(IF(Y46:Y139="jjjj",$P$46:$P$139,""))+SUM(IF(Y46:Y139="kkkk",$P$46:$P$139,""))+SUM(IF(Y46:Y139="llll",$P$46:$P$139,""))+SUM(IF(Y46:Y139="mmmm",$P$46:$P$139,""))+SUM(IF(Y46:Y139="nnnn",$P$46:$P$139,""))+SUM(IF(Y46:Y139="oooo",$P$46:$P$139,""))+SUM(IF(Y46:Y139="pppp",$P$46:$P$139,""))</f>
        <v>0</v>
      </c>
      <c r="Z157" s="54">
        <f t="array" ref="Z157">SUM(IF(Z46:Z139="aaaa",$P$46:$P$139,""))+SUM(IF(Z46:Z139="bbbb",$P$46:$P$139,""))+SUM(IF(Z46:Z139="cccc",$P$46:$P$139,""))+SUM(IF(Z46:Z139="dddd",$P$46:$P$139,""))+SUM(IF(Z46:Z139="eeee",$P$46:$P$139,""))+SUM(IF(Z46:Z139="ffff",$P$46:$P$139,""))+SUM(IF(Z46:Z139="gggg",$P$46:$P$139,""))+SUM(IF(Z46:Z139="hhhh",$P$46:$P$139,""))+SUM(IF(Z46:Z139="iiii",$P$46:$P$139,""))+SUM(IF(Z46:Z139="jjjj",$P$46:$P$139,""))+SUM(IF(Z46:Z139="kkkk",$P$46:$P$139,""))+SUM(IF(Z46:Z139="llll",$P$46:$P$139,""))+SUM(IF(Z46:Z139="mmmm",$P$46:$P$139,""))+SUM(IF(Z46:Z139="nnnn",$P$46:$P$139,""))+SUM(IF(Z46:Z139="oooo",$P$46:$P$139,""))+SUM(IF(Z46:Z139="pppp",$P$46:$P$139,""))</f>
        <v>0</v>
      </c>
      <c r="AA157" s="54">
        <f t="array" ref="AA157">SUM(IF(AA46:AA139="aaaa",$P$46:$P$139,""))+SUM(IF(AA46:AA139="bbbb",$P$46:$P$139,""))+SUM(IF(AA46:AA139="cccc",$P$46:$P$139,""))+SUM(IF(AA46:AA139="dddd",$P$46:$P$139,""))+SUM(IF(AA46:AA139="eeee",$P$46:$P$139,""))+SUM(IF(AA46:AA139="ffff",$P$46:$P$139,""))+SUM(IF(AA46:AA139="gggg",$P$46:$P$139,""))+SUM(IF(AA46:AA139="hhhh",$P$46:$P$139,""))+SUM(IF(AA46:AA139="iiii",$P$46:$P$139,""))+SUM(IF(AA46:AA139="jjjj",$P$46:$P$139,""))+SUM(IF(AA46:AA139="kkkk",$P$46:$P$139,""))+SUM(IF(AA46:AA139="llll",$P$46:$P$139,""))+SUM(IF(AA46:AA139="mmmm",$P$46:$P$139,""))+SUM(IF(AA46:AA139="nnnn",$P$46:$P$139,""))+SUM(IF(AA46:AA139="oooo",$P$46:$P$139,""))+SUM(IF(AA46:AA139="pppp",$P$46:$P$139,""))</f>
        <v>0</v>
      </c>
      <c r="AB157" s="54">
        <f t="array" ref="AB157">SUM(IF(AB46:AB139="aaaa",$P$46:$P$139,""))+SUM(IF(AB46:AB139="bbbb",$P$46:$P$139,""))+SUM(IF(AB46:AB139="cccc",$P$46:$P$139,""))+SUM(IF(AB46:AB139="dddd",$P$46:$P$139,""))+SUM(IF(AB46:AB139="eeee",$P$46:$P$139,""))+SUM(IF(AB46:AB139="ffff",$P$46:$P$139,""))+SUM(IF(AB46:AB139="gggg",$P$46:$P$139,""))+SUM(IF(AB46:AB139="hhhh",$P$46:$P$139,""))+SUM(IF(AB46:AB139="iiii",$P$46:$P$139,""))+SUM(IF(AB46:AB139="jjjj",$P$46:$P$139,""))+SUM(IF(AB46:AB139="kkkk",$P$46:$P$139,""))+SUM(IF(AB46:AB139="llll",$P$46:$P$139,""))+SUM(IF(AB46:AB139="mmmm",$P$46:$P$139,""))+SUM(IF(AB46:AB139="nnnn",$P$46:$P$139,""))+SUM(IF(AB46:AB139="oooo",$P$46:$P$139,""))+SUM(IF(AB46:AB139="pppp",$P$46:$P$139,""))</f>
        <v>0</v>
      </c>
      <c r="AC157" s="54">
        <f t="array" ref="AC157">SUM(IF(AC46:AC139="aaaa",$P$46:$P$139,""))+SUM(IF(AC46:AC139="bbbb",$P$46:$P$139,""))+SUM(IF(AC46:AC139="cccc",$P$46:$P$139,""))+SUM(IF(AC46:AC139="dddd",$P$46:$P$139,""))+SUM(IF(AC46:AC139="eeee",$P$46:$P$139,""))+SUM(IF(AC46:AC139="ffff",$P$46:$P$139,""))+SUM(IF(AC46:AC139="gggg",$P$46:$P$139,""))+SUM(IF(AC46:AC139="hhhh",$P$46:$P$139,""))+SUM(IF(AC46:AC139="iiii",$P$46:$P$139,""))+SUM(IF(AC46:AC139="jjjj",$P$46:$P$139,""))+SUM(IF(AC46:AC139="kkkk",$P$46:$P$139,""))+SUM(IF(AC46:AC139="llll",$P$46:$P$139,""))+SUM(IF(AC46:AC139="mmmm",$P$46:$P$139,""))+SUM(IF(AC46:AC139="nnnn",$P$46:$P$139,""))+SUM(IF(AC46:AC139="oooo",$P$46:$P$139,""))+SUM(IF(AC46:AC139="pppp",$P$46:$P$139,""))+SUM(IF(AC46:AC139="qqqq",$P$46:$P$139,""))+SUM(IF(AC46:AC139="rrrr",$P$46:$P$139,""))+SUM(IF(AC46:AC139="ssss",$P$46:$P$139,""))+SUM(IF(AC46:AC139="tttt",$P$46:$P$139,""))+SUM(IF(AC46:AC139="uuuu",$P$46:$P$139,""))+SUM(IF(AC46:AC139="vvvv",$P$46:$P$139,""))+SUM(IF(AC46:AC139="wwww",$P$46:$P$139,""))</f>
        <v>0</v>
      </c>
      <c r="AD157" t="s">
        <v>267</v>
      </c>
      <c r="AO157" t="s">
        <v>810</v>
      </c>
    </row>
    <row r="158" spans="20:41" ht="24" hidden="1" customHeight="1" x14ac:dyDescent="0.15">
      <c r="T158" s="111">
        <f>SUM(T154:T157)</f>
        <v>0</v>
      </c>
      <c r="U158" s="111">
        <f t="shared" ref="U158:AC158" si="9">SUM(U154:U157)</f>
        <v>0</v>
      </c>
      <c r="V158" s="111">
        <f t="shared" si="9"/>
        <v>0</v>
      </c>
      <c r="W158" s="111">
        <f t="shared" si="9"/>
        <v>0</v>
      </c>
      <c r="X158" s="111">
        <f t="shared" si="9"/>
        <v>0</v>
      </c>
      <c r="Y158" s="111">
        <f t="shared" si="9"/>
        <v>0</v>
      </c>
      <c r="Z158" s="111">
        <f t="shared" si="9"/>
        <v>0</v>
      </c>
      <c r="AA158" s="111">
        <f t="shared" si="9"/>
        <v>0</v>
      </c>
      <c r="AB158" s="111">
        <f t="shared" si="9"/>
        <v>0</v>
      </c>
      <c r="AC158" s="111">
        <f t="shared" si="9"/>
        <v>0</v>
      </c>
      <c r="AD158" s="2" t="s">
        <v>260</v>
      </c>
      <c r="AO158" t="s">
        <v>260</v>
      </c>
    </row>
    <row r="159" spans="20:41" ht="24" hidden="1" customHeight="1" x14ac:dyDescent="0.15"/>
    <row r="160" spans="20:41" ht="24" hidden="1" customHeight="1" x14ac:dyDescent="0.15">
      <c r="T160" s="54">
        <f t="array" ref="T160">SUM(IF(T46:T139="a",$Q$46:$Q$139,""))+SUM(IF(T46:T139="b",$Q$46:$Q$139,""))+SUM(IF(T46:T139="c",$Q$46:$Q$139,""))+SUM(IF(T46:T139="d",$Q$46:$Q$139,""))+SUM(IF(T46:T139="e",$Q$46:$Q$139,""))+SUM(IF(T46:T139="f",$Q$46:$Q$139,""))+SUM(IF(T46:T139="g",$Q$46:$Q$139,""))+SUM(IF(T46:T139="h",$Q$46:$Q$139,""))+SUM(IF(T46:T139="i",$Q$46:$Q$139,""))+SUM(IF(T46:T139="j",$Q$46:$Q$139,""))+SUM(IF(T46:T139="k",$Q$46:$Q$139,""))+SUM(IF(T46:T139="l",$Q$46:$Q$139,""))+SUM(IF(T46:T139="m",$Q$46:$Q$139,""))+SUM(IF(T46:T139="n",$Q$46:$Q$139,""))+SUM(IF(T46:T139="o",$Q$46:$Q$139,""))+SUM(IF(T46:T139="p",$Q$46:$Q$139,""))+SUM(IF(T46:T139="q",$Q$46:$Q$139,""))+SUM(IF(T46:T139="r",$Q$46:$Q$139,""))+SUM(IF(T46:T139="s",$Q$46:$Q$139,""))+SUM(IF(T46:T139="t",$Q$46:$Q$139,""))+SUM(IF(T46:T139="u",$Q$46:$Q$139,""))+SUM(IF(T46:T139="v",$Q$46:$Q$139,""))+SUM(IF(T46:T139="w",$Q$46:$Q$139,""))+SUM(IF(T46:T139="x",$Q$46:$Q$139,""))+SUM(IF(T46:T139="y",$Q$46:$Q$139,""))+SUM(IF(T46:T139="z",$Q$46:$Q$139,""))</f>
        <v>0</v>
      </c>
      <c r="U160" s="54">
        <f t="array" ref="U160">SUM(IF(U46:U139="a",$Q$46:$Q$139,""))+SUM(IF(U46:U139="b",$Q$46:$Q$139,""))+SUM(IF(U46:U139="c",$Q$46:$Q$139,""))+SUM(IF(U46:U139="d",$Q$46:$Q$139,""))+SUM(IF(U46:U139="e",$Q$46:$Q$139,""))+SUM(IF(U46:U139="f",$Q$46:$Q$139,""))+SUM(IF(U46:U139="g",$Q$46:$Q$139,""))+SUM(IF(U46:U139="h",$Q$46:$Q$139,""))+SUM(IF(U46:U139="i",$Q$46:$Q$139,""))+SUM(IF(U46:U139="j",$Q$46:$Q$139,""))+SUM(IF(U46:U139="k",$Q$46:$Q$139,""))+SUM(IF(U46:U139="l",$Q$46:$Q$139,""))+SUM(IF(U46:U139="m",$Q$46:$Q$139,""))+SUM(IF(U46:U139="n",$Q$46:$Q$139,""))+SUM(IF(U46:U139="o",$Q$46:$Q$139,""))+SUM(IF(U46:U139="p",$Q$46:$Q$139,""))+SUM(IF(U46:U139="q",$Q$46:$Q$139,""))+SUM(IF(U46:U139="r",$Q$46:$Q$139,""))+SUM(IF(U46:U139="s",$Q$46:$Q$139,""))+SUM(IF(U46:U139="t",$Q$46:$Q$139,""))+SUM(IF(U46:U139="u",$Q$46:$Q$139,""))+SUM(IF(U46:U139="v",$Q$46:$Q$139,""))+SUM(IF(U46:U139="w",$Q$46:$Q$139,""))+SUM(IF(U46:U139="x",$Q$46:$Q$139,""))+SUM(IF(U46:U139="y",$Q$46:$Q$139,""))+SUM(IF(U46:U139="z",$Q$46:$Q$139,""))</f>
        <v>0</v>
      </c>
      <c r="V160" s="54">
        <f t="array" ref="V160">SUM(IF(V46:V139="a",$Q$46:$Q$139,""))+SUM(IF(V46:V139="b",$Q$46:$Q$139,""))+SUM(IF(V46:V139="c",$Q$46:$Q$139,""))+SUM(IF(V46:V139="d",$Q$46:$Q$139,""))+SUM(IF(V46:V139="e",$Q$46:$Q$139,""))+SUM(IF(V46:V139="f",$Q$46:$Q$139,""))+SUM(IF(V46:V139="g",$Q$46:$Q$139,""))+SUM(IF(V46:V139="h",$Q$46:$Q$139,""))+SUM(IF(V46:V139="i",$Q$46:$Q$139,""))+SUM(IF(V46:V139="j",$Q$46:$Q$139,""))+SUM(IF(V46:V139="k",$Q$46:$Q$139,""))+SUM(IF(V46:V139="l",$Q$46:$Q$139,""))+SUM(IF(V46:V139="m",$Q$46:$Q$139,""))+SUM(IF(V46:V139="n",$Q$46:$Q$139,""))+SUM(IF(V46:V139="o",$Q$46:$Q$139,""))+SUM(IF(V46:V139="p",$Q$46:$Q$139,""))+SUM(IF(V46:V139="q",$Q$46:$Q$139,""))+SUM(IF(V46:V139="r",$Q$46:$Q$139,""))+SUM(IF(V46:V139="s",$Q$46:$Q$139,""))+SUM(IF(V46:V139="t",$Q$46:$Q$139,""))+SUM(IF(V46:V139="u",$Q$46:$Q$139,""))+SUM(IF(V46:V139="v",$Q$46:$Q$139,""))+SUM(IF(V46:V139="w",$Q$46:$Q$139,""))+SUM(IF(V46:V139="x",$Q$46:$Q$139,""))+SUM(IF(V46:V139="y",$Q$46:$Q$139,""))+SUM(IF(V46:V139="z",$Q$46:$Q$139,""))</f>
        <v>0</v>
      </c>
      <c r="W160" s="54">
        <f t="array" ref="W160">SUM(IF(W46:W139="a",$Q$46:$Q$139,""))+SUM(IF(W46:W139="b",$Q$46:$Q$139,""))+SUM(IF(W46:W139="c",$Q$46:$Q$139,""))+SUM(IF(W46:W139="d",$Q$46:$Q$139,""))+SUM(IF(W46:W139="e",$Q$46:$Q$139,""))+SUM(IF(W46:W139="f",$Q$46:$Q$139,""))+SUM(IF(W46:W139="g",$Q$46:$Q$139,""))+SUM(IF(W46:W139="h",$Q$46:$Q$139,""))+SUM(IF(W46:W139="i",$Q$46:$Q$139,""))+SUM(IF(W46:W139="j",$Q$46:$Q$139,""))+SUM(IF(W46:W139="k",$Q$46:$Q$139,""))+SUM(IF(W46:W139="l",$Q$46:$Q$139,""))+SUM(IF(W46:W139="m",$Q$46:$Q$139,""))+SUM(IF(W46:W139="n",$Q$46:$Q$139,""))+SUM(IF(W46:W139="o",$Q$46:$Q$139,""))+SUM(IF(W46:W139="p",$Q$46:$Q$139,""))+SUM(IF(W46:W139="q",$Q$46:$Q$139,""))+SUM(IF(W46:W139="r",$Q$46:$Q$139,""))+SUM(IF(W46:W139="s",$Q$46:$Q$139,""))+SUM(IF(W46:W139="t",$Q$46:$Q$139,""))+SUM(IF(W46:W139="u",$Q$46:$Q$139,""))+SUM(IF(W46:W139="v",$Q$46:$Q$139,""))+SUM(IF(W46:W139="w",$Q$46:$Q$139,""))+SUM(IF(W46:W139="x",$Q$46:$Q$139,""))+SUM(IF(W46:W139="y",$Q$46:$Q$139,""))+SUM(IF(W46:W139="z",$Q$46:$Q$139,""))</f>
        <v>0</v>
      </c>
      <c r="X160" s="54">
        <f t="array" ref="X160">SUM(IF(X46:X139="a",$Q$46:$Q$139,""))+SUM(IF(X46:X139="b",$Q$46:$Q$139,""))+SUM(IF(X46:X139="c",$Q$46:$Q$139,""))+SUM(IF(X46:X139="d",$Q$46:$Q$139,""))+SUM(IF(X46:X139="e",$Q$46:$Q$139,""))+SUM(IF(X46:X139="f",$Q$46:$Q$139,""))+SUM(IF(X46:X139="g",$Q$46:$Q$139,""))+SUM(IF(X46:X139="h",$Q$46:$Q$139,""))+SUM(IF(X46:X139="i",$Q$46:$Q$139,""))+SUM(IF(X46:X139="j",$Q$46:$Q$139,""))+SUM(IF(X46:X139="k",$Q$46:$Q$139,""))+SUM(IF(X46:X139="l",$Q$46:$Q$139,""))+SUM(IF(X46:X139="m",$Q$46:$Q$139,""))+SUM(IF(X46:X139="n",$Q$46:$Q$139,""))+SUM(IF(X46:X139="o",$Q$46:$Q$139,""))+SUM(IF(X46:X139="p",$Q$46:$Q$139,""))+SUM(IF(X46:X139="q",$Q$46:$Q$139,""))+SUM(IF(X46:X139="r",$Q$46:$Q$139,""))+SUM(IF(X46:X139="s",$Q$46:$Q$139,""))+SUM(IF(X46:X139="t",$Q$46:$Q$139,""))+SUM(IF(X46:X139="u",$Q$46:$Q$139,""))+SUM(IF(X46:X139="v",$Q$46:$Q$139,""))+SUM(IF(X46:X139="w",$Q$46:$Q$139,""))+SUM(IF(X46:X139="x",$Q$46:$Q$139,""))+SUM(IF(X46:X139="y",$Q$46:$Q$139,""))+SUM(IF(X46:X139="z",$Q$46:$Q$139,""))</f>
        <v>0</v>
      </c>
      <c r="Y160" s="54">
        <f t="array" ref="Y160">SUM(IF(Y46:Y139="a",$Q$46:$Q$139,""))+SUM(IF(Y46:Y139="b",$Q$46:$Q$139,""))+SUM(IF(Y46:Y139="c",$Q$46:$Q$139,""))+SUM(IF(Y46:Y139="d",$Q$46:$Q$139,""))+SUM(IF(Y46:Y139="e",$Q$46:$Q$139,""))+SUM(IF(Y46:Y139="f",$Q$46:$Q$139,""))+SUM(IF(Y46:Y139="g",$Q$46:$Q$139,""))+SUM(IF(Y46:Y139="h",$Q$46:$Q$139,""))+SUM(IF(Y46:Y139="i",$Q$46:$Q$139,""))+SUM(IF(Y46:Y139="j",$Q$46:$Q$139,""))+SUM(IF(Y46:Y139="k",$Q$46:$Q$139,""))+SUM(IF(Y46:Y139="l",$Q$46:$Q$139,""))+SUM(IF(Y46:Y139="m",$Q$46:$Q$139,""))+SUM(IF(Y46:Y139="n",$Q$46:$Q$139,""))+SUM(IF(Y46:Y139="o",$Q$46:$Q$139,""))+SUM(IF(Y46:Y139="p",$Q$46:$Q$139,""))+SUM(IF(Y46:Y139="q",$Q$46:$Q$139,""))+SUM(IF(Y46:Y139="r",$Q$46:$Q$139,""))+SUM(IF(Y46:Y139="s",$Q$46:$Q$139,""))+SUM(IF(Y46:Y139="t",$Q$46:$Q$139,""))+SUM(IF(Y46:Y139="u",$Q$46:$Q$139,""))+SUM(IF(Y46:Y139="v",$Q$46:$Q$139,""))+SUM(IF(Y46:Y139="w",$Q$46:$Q$139,""))+SUM(IF(Y46:Y139="x",$Q$46:$Q$139,""))+SUM(IF(Y46:Y139="y",$Q$46:$Q$139,""))+SUM(IF(Y46:Y139="z",$Q$46:$Q$139,""))</f>
        <v>0</v>
      </c>
      <c r="Z160" s="54">
        <f t="array" ref="Z160">SUM(IF(Z46:Z139="a",$Q$46:$Q$139,""))+SUM(IF(Z46:Z139="b",$Q$46:$Q$139,""))+SUM(IF(Z46:Z139="c",$Q$46:$Q$139,""))+SUM(IF(Z46:Z139="d",$Q$46:$Q$139,""))+SUM(IF(Z46:Z139="e",$Q$46:$Q$139,""))+SUM(IF(Z46:Z139="f",$Q$46:$Q$139,""))+SUM(IF(Z46:Z139="g",$Q$46:$Q$139,""))+SUM(IF(Z46:Z139="h",$Q$46:$Q$139,""))+SUM(IF(Z46:Z139="i",$Q$46:$Q$139,""))+SUM(IF(Z46:Z139="j",$Q$46:$Q$139,""))+SUM(IF(Z46:Z139="k",$Q$46:$Q$139,""))+SUM(IF(Z46:Z139="l",$Q$46:$Q$139,""))+SUM(IF(Z46:Z139="m",$Q$46:$Q$139,""))+SUM(IF(Z46:Z139="n",$Q$46:$Q$139,""))+SUM(IF(Z46:Z139="o",$Q$46:$Q$139,""))+SUM(IF(Z46:Z139="p",$Q$46:$Q$139,""))+SUM(IF(Z46:Z139="q",$Q$46:$Q$139,""))+SUM(IF(Z46:Z139="r",$Q$46:$Q$139,""))+SUM(IF(Z46:Z139="s",$Q$46:$Q$139,""))+SUM(IF(Z46:Z139="t",$Q$46:$Q$139,""))+SUM(IF(Z46:Z139="u",$Q$46:$Q$139,""))+SUM(IF(Z46:Z139="v",$Q$46:$Q$139,""))+SUM(IF(Z46:Z139="w",$Q$46:$Q$139,""))+SUM(IF(Z46:Z139="x",$Q$46:$Q$139,""))+SUM(IF(Z46:Z139="y",$Q$46:$Q$139,""))+SUM(IF(Z46:Z139="z",$Q$46:$Q$139,""))</f>
        <v>0</v>
      </c>
      <c r="AA160" s="54">
        <f t="array" ref="AA160">SUM(IF(AA46:AA139="a",$Q$46:$Q$139,""))+SUM(IF(AA46:AA139="b",$Q$46:$Q$139,""))+SUM(IF(AA46:AA139="c",$Q$46:$Q$139,""))+SUM(IF(AA46:AA139="d",$Q$46:$Q$139,""))+SUM(IF(AA46:AA139="e",$Q$46:$Q$139,""))+SUM(IF(AA46:AA139="f",$Q$46:$Q$139,""))+SUM(IF(AA46:AA139="g",$Q$46:$Q$139,""))+SUM(IF(AA46:AA139="h",$Q$46:$Q$139,""))+SUM(IF(AA46:AA139="i",$Q$46:$Q$139,""))+SUM(IF(AA46:AA139="j",$Q$46:$Q$139,""))+SUM(IF(AA46:AA139="k",$Q$46:$Q$139,""))+SUM(IF(AA46:AA139="l",$Q$46:$Q$139,""))+SUM(IF(AA46:AA139="m",$Q$46:$Q$139,""))+SUM(IF(AA46:AA139="n",$Q$46:$Q$139,""))+SUM(IF(AA46:AA139="o",$Q$46:$Q$139,""))+SUM(IF(AA46:AA139="p",$Q$46:$Q$139,""))+SUM(IF(AA46:AA139="q",$Q$46:$Q$139,""))+SUM(IF(AA46:AA139="r",$Q$46:$Q$139,""))+SUM(IF(AA46:AA139="s",$Q$46:$Q$139,""))+SUM(IF(AA46:AA139="t",$Q$46:$Q$139,""))+SUM(IF(AA46:AA139="u",$Q$46:$Q$139,""))+SUM(IF(AA46:AA139="v",$Q$46:$Q$139,""))+SUM(IF(AA46:AA139="w",$Q$46:$Q$139,""))+SUM(IF(AA46:AA139="x",$Q$46:$Q$139,""))+SUM(IF(AA46:AA139="y",$Q$46:$Q$139,""))+SUM(IF(AA46:AA139="z",$Q$46:$Q$139,""))</f>
        <v>0</v>
      </c>
      <c r="AB160" s="54">
        <f t="array" ref="AB160">SUM(IF(AB46:AB139="a",$Q$46:$Q$139,""))+SUM(IF(AB46:AB139="b",$Q$46:$Q$139,""))+SUM(IF(AB46:AB139="c",$Q$46:$Q$139,""))+SUM(IF(AB46:AB139="d",$Q$46:$Q$139,""))+SUM(IF(AB46:AB139="e",$Q$46:$Q$139,""))+SUM(IF(AB46:AB139="f",$Q$46:$Q$139,""))+SUM(IF(AB46:AB139="g",$Q$46:$Q$139,""))+SUM(IF(AB46:AB139="h",$Q$46:$Q$139,""))+SUM(IF(AB46:AB139="i",$Q$46:$Q$139,""))+SUM(IF(AB46:AB139="j",$Q$46:$Q$139,""))+SUM(IF(AB46:AB139="k",$Q$46:$Q$139,""))+SUM(IF(AB46:AB139="l",$Q$46:$Q$139,""))+SUM(IF(AB46:AB139="m",$Q$46:$Q$139,""))+SUM(IF(AB46:AB139="n",$Q$46:$Q$139,""))+SUM(IF(AB46:AB139="o",$Q$46:$Q$139,""))+SUM(IF(AB46:AB139="p",$Q$46:$Q$139,""))+SUM(IF(AB46:AB139="q",$Q$46:$Q$139,""))+SUM(IF(AB46:AB139="r",$Q$46:$Q$139,""))+SUM(IF(AB46:AB139="s",$Q$46:$Q$139,""))+SUM(IF(AB46:AB139="t",$Q$46:$Q$139,""))+SUM(IF(AB46:AB139="u",$Q$46:$Q$139,""))+SUM(IF(AB46:AB139="v",$Q$46:$Q$139,""))+SUM(IF(AB46:AB139="w",$Q$46:$Q$139,""))+SUM(IF(AB46:AB139="x",$Q$46:$Q$139,""))+SUM(IF(AB46:AB139="y",$Q$46:$Q$139,""))+SUM(IF(AB46:AB139="z",$Q$46:$Q$139,""))</f>
        <v>0</v>
      </c>
      <c r="AC160" s="54">
        <f t="array" ref="AC160">SUM(IF(AC46:AC139="a",$Q$46:$Q$139,""))+SUM(IF(AC46:AC139="b",$Q$46:$Q$139,""))+SUM(IF(AC46:AC139="c",$Q$46:$Q$139,""))+SUM(IF(AC46:AC139="d",$Q$46:$Q$139,""))+SUM(IF(AC46:AC139="e",$Q$46:$Q$139,""))+SUM(IF(AC46:AC139="f",$Q$46:$Q$139,""))+SUM(IF(AC46:AC139="g",$Q$46:$Q$139,""))+SUM(IF(AC46:AC139="h",$Q$46:$Q$139,""))+SUM(IF(AC46:AC139="i",$Q$46:$Q$139,""))+SUM(IF(AC46:AC139="j",$Q$46:$Q$139,""))+SUM(IF(AC46:AC139="k",$Q$46:$Q$139,""))+SUM(IF(AC46:AC139="l",$Q$46:$Q$139,""))+SUM(IF(AC46:AC139="m",$Q$46:$Q$139,""))+SUM(IF(AC46:AC139="n",$Q$46:$Q$139,""))+SUM(IF(AC46:AC139="o",$Q$46:$Q$139,""))+SUM(IF(AC46:AC139="p",$Q$46:$Q$139,""))+SUM(IF(AC46:AC139="q",$Q$46:$Q$139,""))+SUM(IF(AC46:AC139="r",$Q$46:$Q$139,""))+SUM(IF(AC46:AC139="s",$Q$46:$Q$139,""))+SUM(IF(AC46:AC139="t",$Q$46:$Q$139,""))+SUM(IF(AC46:AC139="u",$Q$46:$Q$139,""))+SUM(IF(AC46:AC139="v",$Q$46:$Q$139,""))+SUM(IF(AC46:AC139="w",$Q$46:$Q$139,""))+SUM(IF(AC46:AC139="x",$Q$46:$Q$139,""))+SUM(IF(AC46:AC139="y",$Q$46:$Q$139,""))+SUM(IF(AC46:AC139="z",$Q$46:$Q$139,""))</f>
        <v>0</v>
      </c>
      <c r="AD160" t="s">
        <v>256</v>
      </c>
      <c r="AO160" t="s">
        <v>812</v>
      </c>
    </row>
    <row r="161" spans="2:41" ht="24" hidden="1" customHeight="1" x14ac:dyDescent="0.15">
      <c r="T161" s="54">
        <f t="array" ref="T161">SUM(IF(T46:T139="aa",$Q$46:$Q$139,""))+SUM(IF(T46:T139="bb",$Q$46:$Q$139,""))+SUM(IF(T46:T139="cc",$Q$46:$Q$139,""))+SUM(IF(T46:T139="dd",$Q$46:$Q$139,""))+SUM(IF(T46:T139="ee",$Q$46:$Q$139,""))+SUM(IF(T46:T139="ff",$Q$46:$Q$139,""))+SUM(IF(T46:T139="gg",$Q$46:$Q$139,""))+SUM(IF(T46:T139="hh",$Q$46:$Q$139,""))+SUM(IF(T46:T139="ii",$Q$46:$Q$139,""))+SUM(IF(T46:T139="jj",$Q$46:$Q$139,""))+SUM(IF(T46:T139="kk",$Q$46:$Q$139,""))+SUM(IF(T46:T139="ll",$Q$46:$Q$139,""))+SUM(IF(T46:T139="mm",$Q$46:$Q$139,""))+SUM(IF(T46:T139="nn",$Q$46:$Q$139,""))+SUM(IF(T46:T139="oo",$Q$46:$Q$139,""))+SUM(IF(T46:T139="pp",$Q$46:$Q$139,""))+SUM(IF(T46:T139="qq",$Q$46:$Q$139,""))+SUM(IF(T46:T139="rr",$Q$46:$Q$139,""))+SUM(IF(T46:T139="ss",$Q$46:$Q$139,""))+SUM(IF(T46:T139="tt",$Q$46:$Q$139,""))+SUM(IF(T46:T139="uu",$Q$46:$Q$139,""))+SUM(IF(T46:T139="vv",$Q$46:$Q$139,""))+SUM(IF(T46:T139="ww",$Q$46:$Q$139,""))+SUM(IF(T46:T139="xx",$Q$46:$Q$139,""))+SUM(IF(T46:T139="yy",$Q$46:$Q$139,""))+SUM(IF(T46:T139="zz",$Q$46:$Q$139,""))</f>
        <v>0</v>
      </c>
      <c r="U161" s="54">
        <f t="array" ref="U161">SUM(IF(U46:U139="aa",$Q$46:$Q$139,""))+SUM(IF(U46:U139="bb",$Q$46:$Q$139,""))+SUM(IF(U46:U139="cc",$Q$46:$Q$139,""))+SUM(IF(U46:U139="dd",$Q$46:$Q$139,""))+SUM(IF(U46:U139="ee",$Q$46:$Q$139,""))+SUM(IF(U46:U139="ff",$Q$46:$Q$139,""))+SUM(IF(U46:U139="gg",$Q$46:$Q$139,""))+SUM(IF(U46:U139="hh",$Q$46:$Q$139,""))+SUM(IF(U46:U139="ii",$Q$46:$Q$139,""))+SUM(IF(U46:U139="jj",$Q$46:$Q$139,""))+SUM(IF(U46:U139="kk",$Q$46:$Q$139,""))+SUM(IF(U46:U139="ll",$Q$46:$Q$139,""))+SUM(IF(U46:U139="mm",$Q$46:$Q$139,""))+SUM(IF(U46:U139="nn",$Q$46:$Q$139,""))+SUM(IF(U46:U139="oo",$Q$46:$Q$139,""))+SUM(IF(U46:U139="pp",$Q$46:$Q$139,""))+SUM(IF(U46:U139="qq",$Q$46:$Q$139,""))+SUM(IF(U46:U139="rr",$Q$46:$Q$139,""))+SUM(IF(U46:U139="ss",$Q$46:$Q$139,""))+SUM(IF(U46:U139="tt",$Q$46:$Q$139,""))+SUM(IF(U46:U139="uu",$Q$46:$Q$139,""))+SUM(IF(U46:U139="vv",$Q$46:$Q$139,""))+SUM(IF(U46:U139="ww",$Q$46:$Q$139,""))+SUM(IF(U46:U139="xx",$Q$46:$Q$139,""))+SUM(IF(U46:U139="yy",$Q$46:$Q$139,""))+SUM(IF(U46:U139="zz",$Q$46:$Q$139,""))</f>
        <v>0</v>
      </c>
      <c r="V161" s="54">
        <f t="array" ref="V161">SUM(IF(V46:V139="aa",$Q$46:$Q$139,""))+SUM(IF(V46:V139="bb",$Q$46:$Q$139,""))+SUM(IF(V46:V139="cc",$Q$46:$Q$139,""))+SUM(IF(V46:V139="dd",$Q$46:$Q$139,""))+SUM(IF(V46:V139="ee",$Q$46:$Q$139,""))+SUM(IF(V46:V139="ff",$Q$46:$Q$139,""))+SUM(IF(V46:V139="gg",$Q$46:$Q$139,""))+SUM(IF(V46:V139="hh",$Q$46:$Q$139,""))+SUM(IF(V46:V139="ii",$Q$46:$Q$139,""))+SUM(IF(V46:V139="jj",$Q$46:$Q$139,""))+SUM(IF(V46:V139="kk",$Q$46:$Q$139,""))+SUM(IF(V46:V139="ll",$Q$46:$Q$139,""))+SUM(IF(V46:V139="mm",$Q$46:$Q$139,""))+SUM(IF(V46:V139="nn",$Q$46:$Q$139,""))+SUM(IF(V46:V139="oo",$Q$46:$Q$139,""))+SUM(IF(V46:V139="pp",$Q$46:$Q$139,""))+SUM(IF(V46:V139="qq",$Q$46:$Q$139,""))+SUM(IF(V46:V139="rr",$Q$46:$Q$139,""))+SUM(IF(V46:V139="ss",$Q$46:$Q$139,""))+SUM(IF(V46:V139="tt",$Q$46:$Q$139,""))+SUM(IF(V46:V139="uu",$Q$46:$Q$139,""))+SUM(IF(V46:V139="vv",$Q$46:$Q$139,""))+SUM(IF(V46:V139="ww",$Q$46:$Q$139,""))+SUM(IF(V46:V139="xx",$Q$46:$Q$139,""))+SUM(IF(V46:V139="yy",$Q$46:$Q$139,""))+SUM(IF(V46:V139="zz",$Q$46:$Q$139,""))</f>
        <v>0</v>
      </c>
      <c r="W161" s="54">
        <f t="array" ref="W161">SUM(IF(W46:W139="aa",$Q$46:$Q$139,""))+SUM(IF(W46:W139="bb",$Q$46:$Q$139,""))+SUM(IF(W46:W139="cc",$Q$46:$Q$139,""))+SUM(IF(W46:W139="dd",$Q$46:$Q$139,""))+SUM(IF(W46:W139="ee",$Q$46:$Q$139,""))+SUM(IF(W46:W139="ff",$Q$46:$Q$139,""))+SUM(IF(W46:W139="gg",$Q$46:$Q$139,""))+SUM(IF(W46:W139="hh",$Q$46:$Q$139,""))+SUM(IF(W46:W139="ii",$Q$46:$Q$139,""))+SUM(IF(W46:W139="jj",$Q$46:$Q$139,""))+SUM(IF(W46:W139="kk",$Q$46:$Q$139,""))+SUM(IF(W46:W139="ll",$Q$46:$Q$139,""))+SUM(IF(W46:W139="mm",$Q$46:$Q$139,""))+SUM(IF(W46:W139="nn",$Q$46:$Q$139,""))+SUM(IF(W46:W139="oo",$Q$46:$Q$139,""))+SUM(IF(W46:W139="pp",$Q$46:$Q$139,""))+SUM(IF(W46:W139="qq",$Q$46:$Q$139,""))+SUM(IF(W46:W139="rr",$Q$46:$Q$139,""))+SUM(IF(W46:W139="ss",$Q$46:$Q$139,""))+SUM(IF(W46:W139="tt",$Q$46:$Q$139,""))+SUM(IF(W46:W139="uu",$Q$46:$Q$139,""))+SUM(IF(W46:W139="vv",$Q$46:$Q$139,""))+SUM(IF(W46:W139="ww",$Q$46:$Q$139,""))+SUM(IF(W46:W139="xx",$Q$46:$Q$139,""))+SUM(IF(W46:W139="yy",$Q$46:$Q$139,""))+SUM(IF(W46:W139="zz",$Q$46:$Q$139,""))</f>
        <v>0</v>
      </c>
      <c r="X161" s="54">
        <f t="array" ref="X161">SUM(IF(X46:X139="aa",$Q$46:$Q$139,""))+SUM(IF(X46:X139="bb",$Q$46:$Q$139,""))+SUM(IF(X46:X139="cc",$Q$46:$Q$139,""))+SUM(IF(X46:X139="dd",$Q$46:$Q$139,""))+SUM(IF(X46:X139="ee",$Q$46:$Q$139,""))+SUM(IF(X46:X139="ff",$Q$46:$Q$139,""))+SUM(IF(X46:X139="gg",$Q$46:$Q$139,""))+SUM(IF(X46:X139="hh",$Q$46:$Q$139,""))+SUM(IF(X46:X139="ii",$Q$46:$Q$139,""))+SUM(IF(X46:X139="jj",$Q$46:$Q$139,""))+SUM(IF(X46:X139="kk",$Q$46:$Q$139,""))+SUM(IF(X46:X139="ll",$Q$46:$Q$139,""))+SUM(IF(X46:X139="mm",$Q$46:$Q$139,""))+SUM(IF(X46:X139="nn",$Q$46:$Q$139,""))+SUM(IF(X46:X139="oo",$Q$46:$Q$139,""))+SUM(IF(X46:X139="pp",$Q$46:$Q$139,""))+SUM(IF(X46:X139="qq",$Q$46:$Q$139,""))+SUM(IF(X46:X139="rr",$Q$46:$Q$139,""))+SUM(IF(X46:X139="ss",$Q$46:$Q$139,""))+SUM(IF(X46:X139="tt",$Q$46:$Q$139,""))+SUM(IF(X46:X139="uu",$Q$46:$Q$139,""))+SUM(IF(X46:X139="vv",$Q$46:$Q$139,""))+SUM(IF(X46:X139="ww",$Q$46:$Q$139,""))+SUM(IF(X46:X139="xx",$Q$46:$Q$139,""))+SUM(IF(X46:X139="yy",$Q$46:$Q$139,""))+SUM(IF(X46:X139="zz",$Q$46:$Q$139,""))</f>
        <v>0</v>
      </c>
      <c r="Y161" s="54">
        <f t="array" ref="Y161">SUM(IF(Y46:Y139="aa",$Q$46:$Q$139,""))+SUM(IF(Y46:Y139="bb",$Q$46:$Q$139,""))+SUM(IF(Y46:Y139="cc",$Q$46:$Q$139,""))+SUM(IF(Y46:Y139="dd",$Q$46:$Q$139,""))+SUM(IF(Y46:Y139="ee",$Q$46:$Q$139,""))+SUM(IF(Y46:Y139="ff",$Q$46:$Q$139,""))+SUM(IF(Y46:Y139="gg",$Q$46:$Q$139,""))+SUM(IF(Y46:Y139="hh",$Q$46:$Q$139,""))+SUM(IF(Y46:Y139="ii",$Q$46:$Q$139,""))+SUM(IF(Y46:Y139="jj",$Q$46:$Q$139,""))+SUM(IF(Y46:Y139="kk",$Q$46:$Q$139,""))+SUM(IF(Y46:Y139="ll",$Q$46:$Q$139,""))+SUM(IF(Y46:Y139="mm",$Q$46:$Q$139,""))+SUM(IF(Y46:Y139="nn",$Q$46:$Q$139,""))+SUM(IF(Y46:Y139="oo",$Q$46:$Q$139,""))+SUM(IF(Y46:Y139="pp",$Q$46:$Q$139,""))+SUM(IF(Y46:Y139="qq",$Q$46:$Q$139,""))+SUM(IF(Y46:Y139="rr",$Q$46:$Q$139,""))+SUM(IF(Y46:Y139="ss",$Q$46:$Q$139,""))+SUM(IF(Y46:Y139="tt",$Q$46:$Q$139,""))+SUM(IF(Y46:Y139="uu",$Q$46:$Q$139,""))+SUM(IF(Y46:Y139="vv",$Q$46:$Q$139,""))+SUM(IF(Y46:Y139="ww",$Q$46:$Q$139,""))+SUM(IF(Y46:Y139="xx",$Q$46:$Q$139,""))+SUM(IF(Y46:Y139="yy",$Q$46:$Q$139,""))+SUM(IF(Y46:Y139="zz",$Q$46:$Q$139,""))</f>
        <v>0</v>
      </c>
      <c r="Z161" s="54">
        <f t="array" ref="Z161">SUM(IF(Z46:Z139="aa",$Q$46:$Q$139,""))+SUM(IF(Z46:Z139="bb",$Q$46:$Q$139,""))+SUM(IF(Z46:Z139="cc",$Q$46:$Q$139,""))+SUM(IF(Z46:Z139="dd",$Q$46:$Q$139,""))+SUM(IF(Z46:Z139="ee",$Q$46:$Q$139,""))+SUM(IF(Z46:Z139="ff",$Q$46:$Q$139,""))+SUM(IF(Z46:Z139="gg",$Q$46:$Q$139,""))+SUM(IF(Z46:Z139="hh",$Q$46:$Q$139,""))+SUM(IF(Z46:Z139="ii",$Q$46:$Q$139,""))+SUM(IF(Z46:Z139="jj",$Q$46:$Q$139,""))+SUM(IF(Z46:Z139="kk",$Q$46:$Q$139,""))+SUM(IF(Z46:Z139="ll",$Q$46:$Q$139,""))+SUM(IF(Z46:Z139="mm",$Q$46:$Q$139,""))+SUM(IF(Z46:Z139="nn",$Q$46:$Q$139,""))+SUM(IF(Z46:Z139="oo",$Q$46:$Q$139,""))+SUM(IF(Z46:Z139="pp",$Q$46:$Q$139,""))+SUM(IF(Z46:Z139="qq",$Q$46:$Q$139,""))+SUM(IF(Z46:Z139="rr",$Q$46:$Q$139,""))+SUM(IF(Z46:Z139="ss",$Q$46:$Q$139,""))+SUM(IF(Z46:Z139="tt",$Q$46:$Q$139,""))+SUM(IF(Z46:Z139="uu",$Q$46:$Q$139,""))+SUM(IF(Z46:Z139="vv",$Q$46:$Q$139,""))+SUM(IF(Z46:Z139="ww",$Q$46:$Q$139,""))+SUM(IF(Z46:Z139="xx",$Q$46:$Q$139,""))+SUM(IF(Z46:Z139="yy",$Q$46:$Q$139,""))+SUM(IF(Z46:Z139="zz",$Q$46:$Q$139,""))</f>
        <v>0</v>
      </c>
      <c r="AA161" s="54">
        <f t="array" ref="AA161">SUM(IF(AA46:AA139="aa",$Q$46:$Q$139,""))+SUM(IF(AA46:AA139="bb",$Q$46:$Q$139,""))+SUM(IF(AA46:AA139="cc",$Q$46:$Q$139,""))+SUM(IF(AA46:AA139="dd",$Q$46:$Q$139,""))+SUM(IF(AA46:AA139="ee",$Q$46:$Q$139,""))+SUM(IF(AA46:AA139="ff",$Q$46:$Q$139,""))+SUM(IF(AA46:AA139="gg",$Q$46:$Q$139,""))+SUM(IF(AA46:AA139="hh",$Q$46:$Q$139,""))+SUM(IF(AA46:AA139="ii",$Q$46:$Q$139,""))+SUM(IF(AA46:AA139="jj",$Q$46:$Q$139,""))+SUM(IF(AA46:AA139="kk",$Q$46:$Q$139,""))+SUM(IF(AA46:AA139="ll",$Q$46:$Q$139,""))+SUM(IF(AA46:AA139="mm",$Q$46:$Q$139,""))+SUM(IF(AA46:AA139="nn",$Q$46:$Q$139,""))+SUM(IF(AA46:AA139="oo",$Q$46:$Q$139,""))+SUM(IF(AA46:AA139="pp",$Q$46:$Q$139,""))+SUM(IF(AA46:AA139="qq",$Q$46:$Q$139,""))+SUM(IF(AA46:AA139="rr",$Q$46:$Q$139,""))+SUM(IF(AA46:AA139="ss",$Q$46:$Q$139,""))+SUM(IF(AA46:AA139="tt",$Q$46:$Q$139,""))+SUM(IF(AA46:AA139="uu",$Q$46:$Q$139,""))+SUM(IF(AA46:AA139="vv",$Q$46:$Q$139,""))+SUM(IF(AA46:AA139="ww",$Q$46:$Q$139,""))+SUM(IF(AA46:AA139="xx",$Q$46:$Q$139,""))+SUM(IF(AA46:AA139="yy",$Q$46:$Q$139,""))+SUM(IF(AA46:AA139="zz",$Q$46:$Q$139,""))</f>
        <v>0</v>
      </c>
      <c r="AB161" s="54">
        <f t="array" ref="AB161">SUM(IF(AB46:AB139="aa",$Q$46:$Q$139,""))+SUM(IF(AB46:AB139="bb",$Q$46:$Q$139,""))+SUM(IF(AB46:AB139="cc",$Q$46:$Q$139,""))+SUM(IF(AB46:AB139="dd",$Q$46:$Q$139,""))+SUM(IF(AB46:AB139="ee",$Q$46:$Q$139,""))+SUM(IF(AB46:AB139="ff",$Q$46:$Q$139,""))+SUM(IF(AB46:AB139="gg",$Q$46:$Q$139,""))+SUM(IF(AB46:AB139="hh",$Q$46:$Q$139,""))+SUM(IF(AB46:AB139="ii",$Q$46:$Q$139,""))+SUM(IF(AB46:AB139="jj",$Q$46:$Q$139,""))+SUM(IF(AB46:AB139="kk",$Q$46:$Q$139,""))+SUM(IF(AB46:AB139="ll",$Q$46:$Q$139,""))+SUM(IF(AB46:AB139="mm",$Q$46:$Q$139,""))+SUM(IF(AB46:AB139="nn",$Q$46:$Q$139,""))+SUM(IF(AB46:AB139="oo",$Q$46:$Q$139,""))+SUM(IF(AB46:AB139="pp",$Q$46:$Q$139,""))+SUM(IF(AB46:AB139="qq",$Q$46:$Q$139,""))+SUM(IF(AB46:AB139="rr",$Q$46:$Q$139,""))+SUM(IF(AB46:AB139="ss",$Q$46:$Q$139,""))+SUM(IF(AB46:AB139="tt",$Q$46:$Q$139,""))+SUM(IF(AB46:AB139="uu",$Q$46:$Q$139,""))+SUM(IF(AB46:AB139="vv",$Q$46:$Q$139,""))+SUM(IF(AB46:AB139="ww",$Q$46:$Q$139,""))+SUM(IF(AB46:AB139="xx",$Q$46:$Q$139,""))+SUM(IF(AB46:AB139="yy",$Q$46:$Q$139,""))+SUM(IF(AB46:AB139="zz",$Q$46:$Q$139,""))</f>
        <v>0</v>
      </c>
      <c r="AC161" s="54">
        <f t="array" ref="AC161">SUM(IF(AC46:AC139="aa",$Q$46:$Q$139,""))+SUM(IF(AC46:AC139="bb",$Q$46:$Q$139,""))+SUM(IF(AC46:AC139="cc",$Q$46:$Q$139,""))+SUM(IF(AC46:AC139="dd",$Q$46:$Q$139,""))+SUM(IF(AC46:AC139="ee",$Q$46:$Q$139,""))+SUM(IF(AC46:AC139="ff",$Q$46:$Q$139,""))+SUM(IF(AC46:AC139="gg",$Q$46:$Q$139,""))+SUM(IF(AC46:AC139="hh",$Q$46:$Q$139,""))+SUM(IF(AC46:AC139="ii",$Q$46:$Q$139,""))+SUM(IF(AC46:AC139="jj",$Q$46:$Q$139,""))+SUM(IF(AC46:AC139="kk",$Q$46:$Q$139,""))+SUM(IF(AC46:AC139="ll",$Q$46:$Q$139,""))+SUM(IF(AC46:AC139="mm",$Q$46:$Q$139,""))+SUM(IF(AC46:AC139="nn",$Q$46:$Q$139,""))+SUM(IF(AC46:AC139="oo",$Q$46:$Q$139,""))+SUM(IF(AC46:AC139="pp",$Q$46:$Q$139,""))+SUM(IF(AC46:AC139="qq",$Q$46:$Q$139,""))+SUM(IF(AC46:AC139="rr",$Q$46:$Q$139,""))+SUM(IF(AC46:AC139="ss",$Q$46:$Q$139,""))+SUM(IF(AC46:AC139="tt",$Q$46:$Q$139,""))+SUM(IF(AC46:AC139="uu",$Q$46:$Q$139,""))+SUM(IF(AC46:AC139="vv",$Q$46:$Q$139,""))+SUM(IF(AC46:AC139="ww",$Q$46:$Q$139,""))+SUM(IF(AC46:AC139="xx",$Q$46:$Q$139,""))+SUM(IF(AC46:AC139="yy",$Q$46:$Q$139,""))+SUM(IF(AC46:AC139="zz",$Q$46:$Q$139,""))</f>
        <v>0</v>
      </c>
      <c r="AD161" t="s">
        <v>257</v>
      </c>
      <c r="AO161" t="s">
        <v>813</v>
      </c>
    </row>
    <row r="162" spans="2:41" ht="24" hidden="1" customHeight="1" x14ac:dyDescent="0.15">
      <c r="T162" s="54">
        <f t="array" ref="T162">SUM(IF(T46:T139="aaa",$Q$46:$Q$139,""))+SUM(IF(T46:T139="bbb",$Q$46:$Q$139,""))+SUM(IF(T46:T139="ccc",$Q$46:$Q$139,""))+SUM(IF(T46:T139="ddd",$Q$46:$Q$139,""))+SUM(IF(T46:T139="eee",$Q$46:$Q$139,""))+SUM(IF(T46:T139="fff",$Q$46:$Q$139,""))+SUM(IF(T46:T139="ggg",$Q$46:$Q$139,""))+SUM(IF(T46:T139="hhh",$Q$46:$Q$139,""))+SUM(IF(T46:T139="iii",$Q$46:$Q$139,""))+SUM(IF(T46:T139="jjj",$Q$46:$Q$139,""))+SUM(IF(T46:T139="kkk",$Q$46:$Q$139,""))+SUM(IF(T46:T139="lll",$Q$46:$Q$139,""))+SUM(IF(T46:T139="mmm",$Q$46:$Q$139,""))+SUM(IF(T46:T139="nnn",$Q$46:$Q$139,""))+SUM(IF(T46:T139="ooo",$Q$46:$Q$139,""))+SUM(IF(T46:T139="ppp",$Q$46:$Q$139,""))+SUM(IF(T46:T139="qqq",$Q$46:$Q$139,""))+SUM(IF(T46:T139="rrr",$Q$46:$Q$139,""))+SUM(IF(T46:T139="sss",$Q$46:$Q$139,""))+SUM(IF(T46:T139="ttt",$Q$46:$Q$139,""))+SUM(IF(T46:T139="uuu",$Q$46:$Q$139,""))+SUM(IF(T46:T139="vvv",$Q$46:$Q$139,""))+SUM(IF(T46:T139="www",$Q$46:$Q$139,""))+SUM(IF(T46:T139="xxx",$Q$46:$Q$139,""))+SUM(IF(T46:T139="yyy",$Q$46:$Q$139,""))+SUM(IF(T46:T139="zzz",$Q$46:$Q$139,""))</f>
        <v>0</v>
      </c>
      <c r="U162" s="54">
        <f t="array" ref="U162">SUM(IF(U46:U139="aaa",$Q$46:$Q$139,""))+SUM(IF(U46:U139="bbb",$Q$46:$Q$139,""))+SUM(IF(U46:U139="ccc",$Q$46:$Q$139,""))+SUM(IF(U46:U139="ddd",$Q$46:$Q$139,""))+SUM(IF(U46:U139="eee",$Q$46:$Q$139,""))+SUM(IF(U46:U139="fff",$Q$46:$Q$139,""))+SUM(IF(U46:U139="ggg",$Q$46:$Q$139,""))+SUM(IF(U46:U139="hhh",$Q$46:$Q$139,""))+SUM(IF(U46:U139="iii",$Q$46:$Q$139,""))+SUM(IF(U46:U139="jjj",$Q$46:$Q$139,""))+SUM(IF(U46:U139="kkk",$Q$46:$Q$139,""))+SUM(IF(U46:U139="lll",$Q$46:$Q$139,""))+SUM(IF(U46:U139="mmm",$Q$46:$Q$139,""))+SUM(IF(U46:U139="nnn",$Q$46:$Q$139,""))+SUM(IF(U46:U139="ooo",$Q$46:$Q$139,""))+SUM(IF(U46:U139="ppp",$Q$46:$Q$139,""))+SUM(IF(U46:U139="qqq",$Q$46:$Q$139,""))+SUM(IF(U46:U139="rrr",$Q$46:$Q$139,""))+SUM(IF(U46:U139="sss",$Q$46:$Q$139,""))+SUM(IF(U46:U139="ttt",$Q$46:$Q$139,""))+SUM(IF(U46:U139="uuu",$Q$46:$Q$139,""))+SUM(IF(U46:U139="vvv",$Q$46:$Q$139,""))+SUM(IF(U46:U139="www",$Q$46:$Q$139,""))+SUM(IF(U46:U139="xxx",$Q$46:$Q$139,""))+SUM(IF(U46:U139="yyy",$Q$46:$Q$139,""))+SUM(IF(U46:U139="zzz",$Q$46:$Q$139,""))</f>
        <v>0</v>
      </c>
      <c r="V162" s="54">
        <f t="array" ref="V162">SUM(IF(V46:V139="aaa",$Q$46:$Q$139,""))+SUM(IF(V46:V139="bbb",$Q$46:$Q$139,""))+SUM(IF(V46:V139="ccc",$Q$46:$Q$139,""))+SUM(IF(V46:V139="ddd",$Q$46:$Q$139,""))+SUM(IF(V46:V139="eee",$Q$46:$Q$139,""))+SUM(IF(V46:V139="fff",$Q$46:$Q$139,""))+SUM(IF(V46:V139="ggg",$Q$46:$Q$139,""))+SUM(IF(V46:V139="hhh",$Q$46:$Q$139,""))+SUM(IF(V46:V139="iii",$Q$46:$Q$139,""))+SUM(IF(V46:V139="jjj",$Q$46:$Q$139,""))+SUM(IF(V46:V139="kkk",$Q$46:$Q$139,""))+SUM(IF(V46:V139="lll",$Q$46:$Q$139,""))+SUM(IF(V46:V139="mmm",$Q$46:$Q$139,""))+SUM(IF(V46:V139="nnn",$Q$46:$Q$139,""))+SUM(IF(V46:V139="ooo",$Q$46:$Q$139,""))+SUM(IF(V46:V139="ppp",$Q$46:$Q$139,""))+SUM(IF(V46:V139="qqq",$Q$46:$Q$139,""))+SUM(IF(V46:V139="rrr",$Q$46:$Q$139,""))+SUM(IF(V46:V139="sss",$Q$46:$Q$139,""))+SUM(IF(V46:V139="ttt",$Q$46:$Q$139,""))+SUM(IF(V46:V139="uuu",$Q$46:$Q$139,""))+SUM(IF(V46:V139="vvv",$Q$46:$Q$139,""))+SUM(IF(V46:V139="www",$Q$46:$Q$139,""))+SUM(IF(V46:V139="xxx",$Q$46:$Q$139,""))+SUM(IF(V46:V139="yyy",$Q$46:$Q$139,""))+SUM(IF(V46:V139="zzz",$Q$46:$Q$139,""))</f>
        <v>0</v>
      </c>
      <c r="W162" s="54">
        <f t="array" ref="W162">SUM(IF(W46:W139="aaa",$Q$46:$Q$139,""))+SUM(IF(W46:W139="bbb",$Q$46:$Q$139,""))+SUM(IF(W46:W139="ccc",$Q$46:$Q$139,""))+SUM(IF(W46:W139="ddd",$Q$46:$Q$139,""))+SUM(IF(W46:W139="eee",$Q$46:$Q$139,""))+SUM(IF(W46:W139="fff",$Q$46:$Q$139,""))+SUM(IF(W46:W139="ggg",$Q$46:$Q$139,""))+SUM(IF(W46:W139="hhh",$Q$46:$Q$139,""))+SUM(IF(W46:W139="iii",$Q$46:$Q$139,""))+SUM(IF(W46:W139="jjj",$Q$46:$Q$139,""))+SUM(IF(W46:W139="kkk",$Q$46:$Q$139,""))+SUM(IF(W46:W139="lll",$Q$46:$Q$139,""))+SUM(IF(W46:W139="mmm",$Q$46:$Q$139,""))+SUM(IF(W46:W139="nnn",$Q$46:$Q$139,""))+SUM(IF(W46:W139="ooo",$Q$46:$Q$139,""))+SUM(IF(W46:W139="ppp",$Q$46:$Q$139,""))+SUM(IF(W46:W139="qqq",$Q$46:$Q$139,""))+SUM(IF(W46:W139="rrr",$Q$46:$Q$139,""))+SUM(IF(W46:W139="sss",$Q$46:$Q$139,""))+SUM(IF(W46:W139="ttt",$Q$46:$Q$139,""))+SUM(IF(W46:W139="uuu",$Q$46:$Q$139,""))+SUM(IF(W46:W139="vvv",$Q$46:$Q$139,""))+SUM(IF(W46:W139="www",$Q$46:$Q$139,""))+SUM(IF(W46:W139="xxx",$Q$46:$Q$139,""))+SUM(IF(W46:W139="yyy",$Q$46:$Q$139,""))+SUM(IF(W46:W139="zzz",$Q$46:$Q$139,""))</f>
        <v>0</v>
      </c>
      <c r="X162" s="54">
        <f t="array" ref="X162">SUM(IF(X46:X139="aaa",$Q$46:$Q$139,""))+SUM(IF(X46:X139="bbb",$Q$46:$Q$139,""))+SUM(IF(X46:X139="ccc",$Q$46:$Q$139,""))+SUM(IF(X46:X139="ddd",$Q$46:$Q$139,""))+SUM(IF(X46:X139="eee",$Q$46:$Q$139,""))+SUM(IF(X46:X139="fff",$Q$46:$Q$139,""))+SUM(IF(X46:X139="ggg",$Q$46:$Q$139,""))+SUM(IF(X46:X139="hhh",$Q$46:$Q$139,""))+SUM(IF(X46:X139="iii",$Q$46:$Q$139,""))+SUM(IF(X46:X139="jjj",$Q$46:$Q$139,""))+SUM(IF(X46:X139="kkk",$Q$46:$Q$139,""))+SUM(IF(X46:X139="lll",$Q$46:$Q$139,""))+SUM(IF(X46:X139="mmm",$Q$46:$Q$139,""))+SUM(IF(X46:X139="nnn",$Q$46:$Q$139,""))+SUM(IF(X46:X139="ooo",$Q$46:$Q$139,""))+SUM(IF(X46:X139="ppp",$Q$46:$Q$139,""))+SUM(IF(X46:X139="qqq",$Q$46:$Q$139,""))+SUM(IF(X46:X139="rrr",$Q$46:$Q$139,""))+SUM(IF(X46:X139="sss",$Q$46:$Q$139,""))+SUM(IF(X46:X139="ttt",$Q$46:$Q$139,""))+SUM(IF(X46:X139="uuu",$Q$46:$Q$139,""))+SUM(IF(X46:X139="vvv",$Q$46:$Q$139,""))+SUM(IF(X46:X139="www",$Q$46:$Q$139,""))+SUM(IF(X46:X139="xxx",$Q$46:$Q$139,""))+SUM(IF(X46:X139="yyy",$Q$46:$Q$139,""))+SUM(IF(X46:X139="zzz",$Q$46:$Q$139,""))</f>
        <v>0</v>
      </c>
      <c r="Y162" s="54">
        <f t="array" ref="Y162">SUM(IF(Y46:Y139="aaa",$Q$46:$Q$139,""))+SUM(IF(Y46:Y139="bbb",$Q$46:$Q$139,""))+SUM(IF(Y46:Y139="ccc",$Q$46:$Q$139,""))+SUM(IF(Y46:Y139="ddd",$Q$46:$Q$139,""))+SUM(IF(Y46:Y139="eee",$Q$46:$Q$139,""))+SUM(IF(Y46:Y139="fff",$Q$46:$Q$139,""))+SUM(IF(Y46:Y139="ggg",$Q$46:$Q$139,""))+SUM(IF(Y46:Y139="hhh",$Q$46:$Q$139,""))+SUM(IF(Y46:Y139="iii",$Q$46:$Q$139,""))+SUM(IF(Y46:Y139="jjj",$Q$46:$Q$139,""))+SUM(IF(Y46:Y139="kkk",$Q$46:$Q$139,""))+SUM(IF(Y46:Y139="lll",$Q$46:$Q$139,""))+SUM(IF(Y46:Y139="mmm",$Q$46:$Q$139,""))+SUM(IF(Y46:Y139="nnn",$Q$46:$Q$139,""))+SUM(IF(Y46:Y139="ooo",$Q$46:$Q$139,""))+SUM(IF(Y46:Y139="ppp",$Q$46:$Q$139,""))+SUM(IF(Y46:Y139="qqq",$Q$46:$Q$139,""))+SUM(IF(Y46:Y139="rrr",$Q$46:$Q$139,""))+SUM(IF(Y46:Y139="sss",$Q$46:$Q$139,""))+SUM(IF(Y46:Y139="ttt",$Q$46:$Q$139,""))+SUM(IF(Y46:Y139="uuu",$Q$46:$Q$139,""))+SUM(IF(Y46:Y139="vvv",$Q$46:$Q$139,""))+SUM(IF(Y46:Y139="www",$Q$46:$Q$139,""))+SUM(IF(Y46:Y139="xxx",$Q$46:$Q$139,""))+SUM(IF(Y46:Y139="yyy",$Q$46:$Q$139,""))+SUM(IF(Y46:Y139="zzz",$Q$46:$Q$139,""))</f>
        <v>0</v>
      </c>
      <c r="Z162" s="54">
        <f t="array" ref="Z162">SUM(IF(Z46:Z139="aaa",$Q$46:$Q$139,""))+SUM(IF(Z46:Z139="bbb",$Q$46:$Q$139,""))+SUM(IF(Z46:Z139="ccc",$Q$46:$Q$139,""))+SUM(IF(Z46:Z139="ddd",$Q$46:$Q$139,""))+SUM(IF(Z46:Z139="eee",$Q$46:$Q$139,""))+SUM(IF(Z46:Z139="fff",$Q$46:$Q$139,""))+SUM(IF(Z46:Z139="ggg",$Q$46:$Q$139,""))+SUM(IF(Z46:Z139="hhh",$Q$46:$Q$139,""))+SUM(IF(Z46:Z139="iii",$Q$46:$Q$139,""))+SUM(IF(Z46:Z139="jjj",$Q$46:$Q$139,""))+SUM(IF(Z46:Z139="kkk",$Q$46:$Q$139,""))+SUM(IF(Z46:Z139="lll",$Q$46:$Q$139,""))+SUM(IF(Z46:Z139="mmm",$Q$46:$Q$139,""))+SUM(IF(Z46:Z139="nnn",$Q$46:$Q$139,""))+SUM(IF(Z46:Z139="ooo",$Q$46:$Q$139,""))+SUM(IF(Z46:Z139="ppp",$Q$46:$Q$139,""))+SUM(IF(Z46:Z139="qqq",$Q$46:$Q$139,""))+SUM(IF(Z46:Z139="rrr",$Q$46:$Q$139,""))+SUM(IF(Z46:Z139="sss",$Q$46:$Q$139,""))+SUM(IF(Z46:Z139="ttt",$Q$46:$Q$139,""))+SUM(IF(Z46:Z139="uuu",$Q$46:$Q$139,""))+SUM(IF(Z46:Z139="vvv",$Q$46:$Q$139,""))+SUM(IF(Z46:Z139="www",$Q$46:$Q$139,""))+SUM(IF(Z46:Z139="xxx",$Q$46:$Q$139,""))+SUM(IF(Z46:Z139="yyy",$Q$46:$Q$139,""))+SUM(IF(Z46:Z139="zzz",$Q$46:$Q$139,""))</f>
        <v>0</v>
      </c>
      <c r="AA162" s="54">
        <f t="array" ref="AA162">SUM(IF(AA46:AA139="aaa",$Q$46:$Q$139,""))+SUM(IF(AA46:AA139="bbb",$Q$46:$Q$139,""))+SUM(IF(AA46:AA139="ccc",$Q$46:$Q$139,""))+SUM(IF(AA46:AA139="ddd",$Q$46:$Q$139,""))+SUM(IF(AA46:AA139="eee",$Q$46:$Q$139,""))+SUM(IF(AA46:AA139="fff",$Q$46:$Q$139,""))+SUM(IF(AA46:AA139="ggg",$Q$46:$Q$139,""))+SUM(IF(AA46:AA139="hhh",$Q$46:$Q$139,""))+SUM(IF(AA46:AA139="iii",$Q$46:$Q$139,""))+SUM(IF(AA46:AA139="jjj",$Q$46:$Q$139,""))+SUM(IF(AA46:AA139="kkk",$Q$46:$Q$139,""))+SUM(IF(AA46:AA139="lll",$Q$46:$Q$139,""))+SUM(IF(AA46:AA139="mmm",$Q$46:$Q$139,""))+SUM(IF(AA46:AA139="nnn",$Q$46:$Q$139,""))+SUM(IF(AA46:AA139="ooo",$Q$46:$Q$139,""))+SUM(IF(AA46:AA139="ppp",$Q$46:$Q$139,""))+SUM(IF(AA46:AA139="qqq",$Q$46:$Q$139,""))+SUM(IF(AA46:AA139="rrr",$Q$46:$Q$139,""))+SUM(IF(AA46:AA139="sss",$Q$46:$Q$139,""))+SUM(IF(AA46:AA139="ttt",$Q$46:$Q$139,""))+SUM(IF(AA46:AA139="uuu",$Q$46:$Q$139,""))+SUM(IF(AA46:AA139="vvv",$Q$46:$Q$139,""))+SUM(IF(AA46:AA139="www",$Q$46:$Q$139,""))+SUM(IF(AA46:AA139="xxx",$Q$46:$Q$139,""))+SUM(IF(AA46:AA139="yyy",$Q$46:$Q$139,""))+SUM(IF(AA46:AA139="zzz",$Q$46:$Q$139,""))</f>
        <v>0</v>
      </c>
      <c r="AB162" s="54">
        <f t="array" ref="AB162">SUM(IF(AB46:AB139="aaa",$Q$46:$Q$139,""))+SUM(IF(AB46:AB139="bbb",$Q$46:$Q$139,""))+SUM(IF(AB46:AB139="ccc",$Q$46:$Q$139,""))+SUM(IF(AB46:AB139="ddd",$Q$46:$Q$139,""))+SUM(IF(AB46:AB139="eee",$Q$46:$Q$139,""))+SUM(IF(AB46:AB139="fff",$Q$46:$Q$139,""))+SUM(IF(AB46:AB139="ggg",$Q$46:$Q$139,""))+SUM(IF(AB46:AB139="hhh",$Q$46:$Q$139,""))+SUM(IF(AB46:AB139="iii",$Q$46:$Q$139,""))+SUM(IF(AB46:AB139="jjj",$Q$46:$Q$139,""))+SUM(IF(AB46:AB139="kkk",$Q$46:$Q$139,""))+SUM(IF(AB46:AB139="lll",$Q$46:$Q$139,""))+SUM(IF(AB46:AB139="mmm",$Q$46:$Q$139,""))+SUM(IF(AB46:AB139="nnn",$Q$46:$Q$139,""))+SUM(IF(AB46:AB139="ooo",$Q$46:$Q$139,""))+SUM(IF(AB46:AB139="ppp",$Q$46:$Q$139,""))+SUM(IF(AB46:AB139="qqq",$Q$46:$Q$139,""))+SUM(IF(AB46:AB139="rrr",$Q$46:$Q$139,""))+SUM(IF(AB46:AB139="sss",$Q$46:$Q$139,""))+SUM(IF(AB46:AB139="ttt",$Q$46:$Q$139,""))+SUM(IF(AB46:AB139="uuu",$Q$46:$Q$139,""))+SUM(IF(AB46:AB139="vvv",$Q$46:$Q$139,""))+SUM(IF(AB46:AB139="www",$Q$46:$Q$139,""))+SUM(IF(AB46:AB139="xxx",$Q$46:$Q$139,""))+SUM(IF(AB46:AB139="yyy",$Q$46:$Q$139,""))+SUM(IF(AB46:AB139="zzz",$Q$46:$Q$139,""))</f>
        <v>0</v>
      </c>
      <c r="AC162" s="54">
        <f t="array" ref="AC162">SUM(IF(AC46:AC139="aaa",$Q$46:$Q$139,""))+SUM(IF(AC46:AC139="bbb",$Q$46:$Q$139,""))+SUM(IF(AC46:AC139="ccc",$Q$46:$Q$139,""))+SUM(IF(AC46:AC139="ddd",$Q$46:$Q$139,""))+SUM(IF(AC46:AC139="eee",$Q$46:$Q$139,""))+SUM(IF(AC46:AC139="fff",$Q$46:$Q$139,""))+SUM(IF(AC46:AC139="ggg",$Q$46:$Q$139,""))+SUM(IF(AC46:AC139="hhh",$Q$46:$Q$139,""))+SUM(IF(AC46:AC139="iii",$Q$46:$Q$139,""))+SUM(IF(AC46:AC139="jjj",$Q$46:$Q$139,""))+SUM(IF(AC46:AC139="kkk",$Q$46:$Q$139,""))+SUM(IF(AC46:AC139="lll",$Q$46:$Q$139,""))+SUM(IF(AC46:AC139="mmm",$Q$46:$Q$139,""))+SUM(IF(AC46:AC139="nnn",$Q$46:$Q$139,""))+SUM(IF(AC46:AC139="ooo",$Q$46:$Q$139,""))+SUM(IF(AC46:AC139="ppp",$Q$46:$Q$139,""))+SUM(IF(AC46:AC139="qqq",$Q$46:$Q$139,""))+SUM(IF(AC46:AC139="rrr",$Q$46:$Q$139,""))+SUM(IF(AC46:AC139="sss",$Q$46:$Q$139,""))+SUM(IF(AC46:AC139="ttt",$Q$46:$Q$139,""))+SUM(IF(AC46:AC139="uuu",$Q$46:$Q$139,""))+SUM(IF(AC46:AC139="vvv",$Q$46:$Q$139,""))+SUM(IF(AC46:AC139="www",$Q$46:$Q$139,""))+SUM(IF(AC46:AC139="xxx",$Q$46:$Q$139,""))+SUM(IF(AC46:AC139="yyy",$Q$46:$Q$139,""))+SUM(IF(AC46:AC139="zzz",$Q$46:$Q$139,""))</f>
        <v>0</v>
      </c>
      <c r="AD162" t="s">
        <v>258</v>
      </c>
      <c r="AO162" t="s">
        <v>814</v>
      </c>
    </row>
    <row r="163" spans="2:41" ht="24" hidden="1" customHeight="1" x14ac:dyDescent="0.15">
      <c r="T163" s="54">
        <f t="array" ref="T163">SUM(IF(T46:T139="aaaa",$Q$46:$Q$139,""))+SUM(IF(T46:T139="bbbb",$Q$46:$Q$139,""))+SUM(IF(T46:T139="cccc",$Q$46:$Q$139,""))+SUM(IF(T46:T139="dddd",$Q$46:$Q$139,""))+SUM(IF(T46:T139="eeee",$Q$46:$Q$139,""))+SUM(IF(T46:T139="ffff",$Q$46:$Q$139,""))+SUM(IF(T46:T139="gggg",$Q$46:$Q$139,""))+SUM(IF(T46:T139="hhhh",$Q$46:$Q$139,""))+SUM(IF(T46:T139="iiii",$Q$46:$Q$139,""))+SUM(IF(T46:T139="jjjj",$Q$46:$Q$139,""))+SUM(IF(T46:T139="kkkk",$Q$46:$Q$139,""))+SUM(IF(T46:T139="llll",$Q$46:$Q$139,""))+SUM(IF(T46:T139="mmmm",$Q$46:$Q$139,""))+SUM(IF(T46:T139="nnnn",$Q$46:$Q$139,""))+SUM(IF(T46:T139="oooo",$Q$46:$Q$139,""))+SUM(IF(T46:T139="pppp",$Q$46:$Q$139,""))</f>
        <v>0</v>
      </c>
      <c r="U163" s="54">
        <f t="array" ref="U163">SUM(IF(U46:U139="aaaa",$Q$46:$Q$139,""))+SUM(IF(U46:U139="bbbb",$Q$46:$Q$139,""))+SUM(IF(U46:U139="cccc",$Q$46:$Q$139,""))+SUM(IF(U46:U139="dddd",$Q$46:$Q$139,""))+SUM(IF(U46:U139="eeee",$Q$46:$Q$139,""))+SUM(IF(U46:U139="ffff",$Q$46:$Q$139,""))+SUM(IF(U46:U139="gggg",$Q$46:$Q$139,""))+SUM(IF(U46:U139="hhhh",$Q$46:$Q$139,""))+SUM(IF(U46:U139="iiii",$Q$46:$Q$139,""))+SUM(IF(U46:U139="jjjj",$Q$46:$Q$139,""))+SUM(IF(U46:U139="kkkk",$Q$46:$Q$139,""))+SUM(IF(U46:U139="llll",$Q$46:$Q$139,""))+SUM(IF(U46:U139="mmmm",$Q$46:$Q$139,""))+SUM(IF(U46:U139="nnnn",$Q$46:$Q$139,""))+SUM(IF(U46:U139="oooo",$Q$46:$Q$139,""))+SUM(IF(U46:U139="pppp",$Q$46:$Q$139,""))</f>
        <v>0</v>
      </c>
      <c r="V163" s="54">
        <f t="array" ref="V163">SUM(IF(V46:V139="aaaa",$Q$46:$Q$139,""))+SUM(IF(V46:V139="bbbb",$Q$46:$Q$139,""))+SUM(IF(V46:V139="cccc",$Q$46:$Q$139,""))+SUM(IF(V46:V139="dddd",$Q$46:$Q$139,""))+SUM(IF(V46:V139="eeee",$Q$46:$Q$139,""))+SUM(IF(V46:V139="ffff",$Q$46:$Q$139,""))+SUM(IF(V46:V139="gggg",$Q$46:$Q$139,""))+SUM(IF(V46:V139="hhhh",$Q$46:$Q$139,""))+SUM(IF(V46:V139="iiii",$Q$46:$Q$139,""))+SUM(IF(V46:V139="jjjj",$Q$46:$Q$139,""))+SUM(IF(V46:V139="kkkk",$Q$46:$Q$139,""))+SUM(IF(V46:V139="llll",$Q$46:$Q$139,""))+SUM(IF(V46:V139="mmmm",$Q$46:$Q$139,""))+SUM(IF(V46:V139="nnnn",$Q$46:$Q$139,""))+SUM(IF(V46:V139="oooo",$Q$46:$Q$139,""))+SUM(IF(V46:V139="pppp",$Q$46:$Q$139,""))</f>
        <v>0</v>
      </c>
      <c r="W163" s="54">
        <f t="array" ref="W163">SUM(IF(W46:W139="aaaa",$Q$46:$Q$139,""))+SUM(IF(W46:W139="bbbb",$Q$46:$Q$139,""))+SUM(IF(W46:W139="cccc",$Q$46:$Q$139,""))+SUM(IF(W46:W139="dddd",$Q$46:$Q$139,""))+SUM(IF(W46:W139="eeee",$Q$46:$Q$139,""))+SUM(IF(W46:W139="ffff",$Q$46:$Q$139,""))+SUM(IF(W46:W139="gggg",$Q$46:$Q$139,""))+SUM(IF(W46:W139="hhhh",$Q$46:$Q$139,""))+SUM(IF(W46:W139="iiii",$Q$46:$Q$139,""))+SUM(IF(W46:W139="jjjj",$Q$46:$Q$139,""))+SUM(IF(W46:W139="kkkk",$Q$46:$Q$139,""))+SUM(IF(W46:W139="llll",$Q$46:$Q$139,""))+SUM(IF(W46:W139="mmmm",$Q$46:$Q$139,""))+SUM(IF(W46:W139="nnnn",$Q$46:$Q$139,""))+SUM(IF(W46:W139="oooo",$Q$46:$Q$139,""))+SUM(IF(W46:W139="pppp",$Q$46:$Q$139,""))</f>
        <v>0</v>
      </c>
      <c r="X163" s="54">
        <f t="array" ref="X163">SUM(IF(X46:X139="aaaa",$Q$46:$Q$139,""))+SUM(IF(X46:X139="bbbb",$Q$46:$Q$139,""))+SUM(IF(X46:X139="cccc",$Q$46:$Q$139,""))+SUM(IF(X46:X139="dddd",$Q$46:$Q$139,""))+SUM(IF(X46:X139="eeee",$Q$46:$Q$139,""))+SUM(IF(X46:X139="ffff",$Q$46:$Q$139,""))+SUM(IF(X46:X139="gggg",$Q$46:$Q$139,""))+SUM(IF(X46:X139="hhhh",$Q$46:$Q$139,""))+SUM(IF(X46:X139="iiii",$Q$46:$Q$139,""))+SUM(IF(X46:X139="jjjj",$Q$46:$Q$139,""))+SUM(IF(X46:X139="kkkk",$Q$46:$Q$139,""))+SUM(IF(X46:X139="llll",$Q$46:$Q$139,""))+SUM(IF(X46:X139="mmmm",$Q$46:$Q$139,""))+SUM(IF(X46:X139="nnnn",$Q$46:$Q$139,""))+SUM(IF(X46:X139="oooo",$Q$46:$Q$139,""))+SUM(IF(X46:X139="pppp",$Q$46:$Q$139,""))</f>
        <v>0</v>
      </c>
      <c r="Y163" s="54">
        <f t="array" ref="Y163">SUM(IF(Y46:Y139="aaaa",$Q$46:$Q$139,""))+SUM(IF(Y46:Y139="bbbb",$Q$46:$Q$139,""))+SUM(IF(Y46:Y139="cccc",$Q$46:$Q$139,""))+SUM(IF(Y46:Y139="dddd",$Q$46:$Q$139,""))+SUM(IF(Y46:Y139="eeee",$Q$46:$Q$139,""))+SUM(IF(Y46:Y139="ffff",$Q$46:$Q$139,""))+SUM(IF(Y46:Y139="gggg",$Q$46:$Q$139,""))+SUM(IF(Y46:Y139="hhhh",$Q$46:$Q$139,""))+SUM(IF(Y46:Y139="iiii",$Q$46:$Q$139,""))+SUM(IF(Y46:Y139="jjjj",$Q$46:$Q$139,""))+SUM(IF(Y46:Y139="kkkk",$Q$46:$Q$139,""))+SUM(IF(Y46:Y139="llll",$Q$46:$Q$139,""))+SUM(IF(Y46:Y139="mmmm",$Q$46:$Q$139,""))+SUM(IF(Y46:Y139="nnnn",$Q$46:$Q$139,""))+SUM(IF(Y46:Y139="oooo",$Q$46:$Q$139,""))+SUM(IF(Y46:Y139="pppp",$Q$46:$Q$139,""))</f>
        <v>0</v>
      </c>
      <c r="Z163" s="54">
        <f t="array" ref="Z163">SUM(IF(Z46:Z139="aaaa",$Q$46:$Q$139,""))+SUM(IF(Z46:Z139="bbbb",$Q$46:$Q$139,""))+SUM(IF(Z46:Z139="cccc",$Q$46:$Q$139,""))+SUM(IF(Z46:Z139="dddd",$Q$46:$Q$139,""))+SUM(IF(Z46:Z139="eeee",$Q$46:$Q$139,""))+SUM(IF(Z46:Z139="ffff",$Q$46:$Q$139,""))+SUM(IF(Z46:Z139="gggg",$Q$46:$Q$139,""))+SUM(IF(Z46:Z139="hhhh",$Q$46:$Q$139,""))+SUM(IF(Z46:Z139="iiii",$Q$46:$Q$139,""))+SUM(IF(Z46:Z139="jjjj",$Q$46:$Q$139,""))+SUM(IF(Z46:Z139="kkkk",$Q$46:$Q$139,""))+SUM(IF(Z46:Z139="llll",$Q$46:$Q$139,""))+SUM(IF(Z46:Z139="mmmm",$Q$46:$Q$139,""))+SUM(IF(Z46:Z139="nnnn",$Q$46:$Q$139,""))+SUM(IF(Z46:Z139="oooo",$Q$46:$Q$139,""))+SUM(IF(Z46:Z139="pppp",$Q$46:$Q$139,""))</f>
        <v>0</v>
      </c>
      <c r="AA163" s="54">
        <f t="array" ref="AA163">SUM(IF(AA46:AA139="aaaa",$Q$46:$Q$139,""))+SUM(IF(AA46:AA139="bbbb",$Q$46:$Q$139,""))+SUM(IF(AA46:AA139="cccc",$Q$46:$Q$139,""))+SUM(IF(AA46:AA139="dddd",$Q$46:$Q$139,""))+SUM(IF(AA46:AA139="eeee",$Q$46:$Q$139,""))+SUM(IF(AA46:AA139="ffff",$Q$46:$Q$139,""))+SUM(IF(AA46:AA139="gggg",$Q$46:$Q$139,""))+SUM(IF(AA46:AA139="hhhh",$Q$46:$Q$139,""))+SUM(IF(AA46:AA139="iiii",$Q$46:$Q$139,""))+SUM(IF(AA46:AA139="jjjj",$Q$46:$Q$139,""))+SUM(IF(AA46:AA139="kkkk",$Q$46:$Q$139,""))+SUM(IF(AA46:AA139="llll",$Q$46:$Q$139,""))+SUM(IF(AA46:AA139="mmmm",$Q$46:$Q$139,""))+SUM(IF(AA46:AA139="nnnn",$Q$46:$Q$139,""))+SUM(IF(AA46:AA139="oooo",$Q$46:$Q$139,""))+SUM(IF(AA46:AA139="pppp",$Q$46:$Q$139,""))</f>
        <v>0</v>
      </c>
      <c r="AB163" s="54">
        <f t="array" ref="AB163">SUM(IF(AB46:AB139="aaaa",$Q$46:$Q$139,""))+SUM(IF(AB46:AB139="bbbb",$Q$46:$Q$139,""))+SUM(IF(AB46:AB139="cccc",$Q$46:$Q$139,""))+SUM(IF(AB46:AB139="dddd",$Q$46:$Q$139,""))+SUM(IF(AB46:AB139="eeee",$Q$46:$Q$139,""))+SUM(IF(AB46:AB139="ffff",$Q$46:$Q$139,""))+SUM(IF(AB46:AB139="gggg",$Q$46:$Q$139,""))+SUM(IF(AB46:AB139="hhhh",$Q$46:$Q$139,""))+SUM(IF(AB46:AB139="iiii",$Q$46:$Q$139,""))+SUM(IF(AB46:AB139="jjjj",$Q$46:$Q$139,""))+SUM(IF(AB46:AB139="kkkk",$Q$46:$Q$139,""))+SUM(IF(AB46:AB139="llll",$Q$46:$Q$139,""))+SUM(IF(AB46:AB139="mmmm",$Q$46:$Q$139,""))+SUM(IF(AB46:AB139="nnnn",$Q$46:$Q$139,""))+SUM(IF(AB46:AB139="oooo",$Q$46:$Q$139,""))+SUM(IF(AB46:AB139="pppp",$Q$46:$Q$139,""))</f>
        <v>0</v>
      </c>
      <c r="AC163" s="54">
        <f t="array" ref="AC163">SUM(IF(AC46:AC139="aaaa",$Q$46:$Q$139,""))+SUM(IF(AC46:AC139="bbbb",$Q$46:$Q$139,""))+SUM(IF(AC46:AC139="cccc",$Q$46:$Q$139,""))+SUM(IF(AC46:AC139="dddd",$Q$46:$Q$139,""))+SUM(IF(AC46:AC139="eeee",$Q$46:$Q$139,""))+SUM(IF(AC46:AC139="ffff",$Q$46:$Q$139,""))+SUM(IF(AC46:AC139="gggg",$Q$46:$Q$139,""))+SUM(IF(AC46:AC139="hhhh",$Q$46:$Q$139,""))+SUM(IF(AC46:AC139="iiii",$Q$46:$Q$139,""))+SUM(IF(AC46:AC139="jjjj",$Q$46:$Q$139,""))+SUM(IF(AC46:AC139="kkkk",$Q$46:$Q$139,""))+SUM(IF(AC46:AC139="llll",$Q$46:$Q$139,""))+SUM(IF(AC46:AC139="mmmm",$Q$46:$Q$139,""))+SUM(IF(AC46:AC139="nnnn",$Q$46:$Q$139,""))+SUM(IF(AC46:AC139="oooo",$Q$46:$Q$139,""))+SUM(IF(AC46:AC139="pppp",$Q$46:$Q$139,""))+SUM(IF(AC46:AC139="qqqq",$Q$46:$Q$139,""))+SUM(IF(AC46:AC139="rrrr",$Q$46:$Q$139,""))+SUM(IF(AC46:AC139="ssss",$Q$46:$Q$139,""))+SUM(IF(AC46:AC139="tttt",$Q$46:$Q$139,""))+SUM(IF(AC46:AC139="uuuu",$Q$46:$Q$139,""))+SUM(IF(AC46:AC139="vvvv",$Q$46:$Q$139,""))+SUM(IF(AC46:AC139="wwww",$Q$46:$Q$139,""))</f>
        <v>0</v>
      </c>
      <c r="AD163" t="s">
        <v>267</v>
      </c>
      <c r="AO163" t="s">
        <v>810</v>
      </c>
    </row>
    <row r="164" spans="2:41" ht="24" hidden="1" customHeight="1" x14ac:dyDescent="0.15">
      <c r="T164" s="111">
        <f t="shared" ref="T164:AC164" si="10">SUM(T160:T163)</f>
        <v>0</v>
      </c>
      <c r="U164" s="111">
        <f t="shared" si="10"/>
        <v>0</v>
      </c>
      <c r="V164" s="111">
        <f t="shared" si="10"/>
        <v>0</v>
      </c>
      <c r="W164" s="111">
        <f t="shared" si="10"/>
        <v>0</v>
      </c>
      <c r="X164" s="111">
        <f t="shared" si="10"/>
        <v>0</v>
      </c>
      <c r="Y164" s="111">
        <f t="shared" si="10"/>
        <v>0</v>
      </c>
      <c r="Z164" s="111">
        <f t="shared" si="10"/>
        <v>0</v>
      </c>
      <c r="AA164" s="111">
        <f t="shared" si="10"/>
        <v>0</v>
      </c>
      <c r="AB164" s="111">
        <f t="shared" si="10"/>
        <v>0</v>
      </c>
      <c r="AC164" s="111">
        <f t="shared" si="10"/>
        <v>0</v>
      </c>
      <c r="AD164" s="2" t="s">
        <v>261</v>
      </c>
      <c r="AO164" t="s">
        <v>261</v>
      </c>
    </row>
    <row r="165" spans="2:41" ht="24" hidden="1" customHeight="1" x14ac:dyDescent="0.15">
      <c r="AD165" s="2"/>
    </row>
    <row r="166" spans="2:41" ht="24" hidden="1" customHeight="1" x14ac:dyDescent="0.15">
      <c r="T166" s="73">
        <f>IF($K7="障子",T158,IF($K7="外付けブラインド",T164,T152))</f>
        <v>0</v>
      </c>
      <c r="U166" s="73">
        <f>IF($K8="障子",U158,IF($K8="外付けブラインド",U164,U152))</f>
        <v>0</v>
      </c>
      <c r="V166" s="73">
        <f>IF($K9="障子",V158,IF($K9="外付けブラインド",V164,V152))</f>
        <v>0</v>
      </c>
      <c r="W166" s="73">
        <f>IF($K10="障子",W158,IF($K10="外付けブラインド",W164,W152))</f>
        <v>0</v>
      </c>
      <c r="X166" s="73">
        <f>IF($K11="障子",X158,IF($K11="外付けブラインド",X164,X152))</f>
        <v>0</v>
      </c>
      <c r="Y166" s="73">
        <f>IF($K12="障子",Y158,IF($K12="外付けブラインド",Y164,Y152))</f>
        <v>0</v>
      </c>
      <c r="Z166" s="73">
        <f>IF($K13="障子",Z158,IF($K13="外付けブラインド",Z164,Z152))</f>
        <v>0</v>
      </c>
      <c r="AA166" s="73">
        <f>IF($K14="障子",AA158,IF($K14="外付けブラインド",AA164,AA152))</f>
        <v>0</v>
      </c>
      <c r="AB166" s="73">
        <f>IF($K15="障子",AB158,IF($K15="外付けブラインド",AB164,AB152))</f>
        <v>0</v>
      </c>
      <c r="AC166" s="73">
        <f>IF($K16="障子",AC158,IF($K16="外付けブラインド",AC164,AC152))</f>
        <v>0</v>
      </c>
      <c r="AD166" s="2" t="s">
        <v>262</v>
      </c>
      <c r="AO166" t="s">
        <v>262</v>
      </c>
    </row>
    <row r="167" spans="2:41" ht="24" hidden="1" customHeight="1" x14ac:dyDescent="0.15">
      <c r="T167" s="30" t="s">
        <v>116</v>
      </c>
      <c r="U167" s="30" t="s">
        <v>117</v>
      </c>
      <c r="V167" s="30" t="s">
        <v>118</v>
      </c>
      <c r="W167" s="30" t="s">
        <v>119</v>
      </c>
      <c r="X167" s="30" t="s">
        <v>120</v>
      </c>
      <c r="Y167" s="30" t="s">
        <v>121</v>
      </c>
      <c r="Z167" s="30" t="s">
        <v>122</v>
      </c>
      <c r="AA167" s="30" t="s">
        <v>326</v>
      </c>
      <c r="AB167" s="30" t="s">
        <v>327</v>
      </c>
      <c r="AC167" s="30" t="s">
        <v>328</v>
      </c>
    </row>
    <row r="168" spans="2:41" ht="24" hidden="1" customHeight="1" x14ac:dyDescent="0.15"/>
    <row r="169" spans="2:41" ht="24" hidden="1" customHeight="1" x14ac:dyDescent="0.15"/>
    <row r="170" spans="2:41" ht="24" hidden="1" customHeight="1" x14ac:dyDescent="0.15"/>
    <row r="171" spans="2:41" ht="24" hidden="1" customHeight="1" x14ac:dyDescent="0.15">
      <c r="B171" s="114" t="s">
        <v>19</v>
      </c>
    </row>
    <row r="172" spans="2:41" ht="24" hidden="1" customHeight="1" x14ac:dyDescent="0.15">
      <c r="B172" s="51" t="s">
        <v>846</v>
      </c>
      <c r="H172" t="s">
        <v>7</v>
      </c>
      <c r="J172" s="51" t="s">
        <v>847</v>
      </c>
      <c r="K172" s="51" t="s">
        <v>848</v>
      </c>
      <c r="L172" s="51" t="s">
        <v>849</v>
      </c>
      <c r="M172" s="245" t="s">
        <v>853</v>
      </c>
      <c r="N172" s="51" t="s">
        <v>850</v>
      </c>
      <c r="O172" s="51" t="s">
        <v>851</v>
      </c>
      <c r="P172" s="51" t="s">
        <v>852</v>
      </c>
    </row>
    <row r="173" spans="2:41" ht="24" hidden="1" customHeight="1" x14ac:dyDescent="0.15">
      <c r="B173" s="80" t="s">
        <v>787</v>
      </c>
      <c r="C173" s="115">
        <v>2.33</v>
      </c>
      <c r="G173" t="s">
        <v>329</v>
      </c>
      <c r="H173" s="111" t="e">
        <f>VLOOKUP(O22,$B$173:$C$187,2,0)</f>
        <v>#N/A</v>
      </c>
      <c r="M173" s="80" t="s">
        <v>787</v>
      </c>
      <c r="P173" s="118"/>
      <c r="AA173" s="116"/>
      <c r="AB173" s="58"/>
      <c r="AC173" s="75"/>
      <c r="AD173" s="75"/>
      <c r="AE173" s="75"/>
      <c r="AF173" s="75"/>
      <c r="AG173" s="75"/>
      <c r="AH173" s="75"/>
      <c r="AI173" s="75"/>
      <c r="AJ173" s="75"/>
      <c r="AK173" s="75"/>
    </row>
    <row r="174" spans="2:41" ht="24" hidden="1" customHeight="1" x14ac:dyDescent="0.15">
      <c r="B174" s="80" t="s">
        <v>788</v>
      </c>
      <c r="C174" s="115">
        <v>2.33</v>
      </c>
      <c r="G174" t="s">
        <v>330</v>
      </c>
      <c r="H174" s="111" t="e">
        <f>VLOOKUP(O23,$B$173:$C$187,2,0)</f>
        <v>#N/A</v>
      </c>
      <c r="M174" s="80" t="s">
        <v>788</v>
      </c>
      <c r="P174" s="118"/>
      <c r="AA174" s="116"/>
      <c r="AB174" s="58"/>
      <c r="AC174" s="75"/>
      <c r="AD174" s="75"/>
      <c r="AE174" s="75"/>
      <c r="AF174" s="75"/>
      <c r="AG174" s="75"/>
      <c r="AH174" s="75"/>
      <c r="AI174" s="75"/>
      <c r="AJ174" s="75"/>
      <c r="AK174" s="75"/>
    </row>
    <row r="175" spans="2:41" ht="24" hidden="1" customHeight="1" x14ac:dyDescent="0.15">
      <c r="B175" s="80" t="s">
        <v>794</v>
      </c>
      <c r="C175" s="115">
        <v>2.91</v>
      </c>
      <c r="M175" s="80" t="s">
        <v>794</v>
      </c>
      <c r="AA175" s="116"/>
      <c r="AB175" s="58"/>
      <c r="AC175" s="75"/>
      <c r="AD175" s="75"/>
      <c r="AE175" s="75"/>
      <c r="AF175" s="75"/>
      <c r="AG175" s="75"/>
      <c r="AH175" s="75"/>
      <c r="AI175" s="75"/>
      <c r="AJ175" s="75"/>
      <c r="AK175" s="75"/>
    </row>
    <row r="176" spans="2:41" ht="24" hidden="1" customHeight="1" x14ac:dyDescent="0.15">
      <c r="B176" s="80" t="s">
        <v>789</v>
      </c>
      <c r="C176" s="115">
        <v>2.91</v>
      </c>
      <c r="M176" s="80" t="s">
        <v>789</v>
      </c>
      <c r="AA176" s="116"/>
      <c r="AB176" s="58"/>
      <c r="AC176" s="75"/>
      <c r="AD176" s="75"/>
      <c r="AE176" s="75"/>
      <c r="AF176" s="75"/>
      <c r="AG176" s="75"/>
      <c r="AH176" s="75"/>
      <c r="AI176" s="75"/>
      <c r="AJ176" s="75"/>
      <c r="AK176" s="75"/>
    </row>
    <row r="177" spans="2:37" ht="24" hidden="1" customHeight="1" x14ac:dyDescent="0.15">
      <c r="B177" s="80" t="s">
        <v>791</v>
      </c>
      <c r="C177" s="115">
        <v>2.33</v>
      </c>
      <c r="M177" s="80" t="s">
        <v>791</v>
      </c>
      <c r="AA177" s="78"/>
      <c r="AB177" s="58"/>
      <c r="AC177" s="75"/>
      <c r="AD177" s="75"/>
      <c r="AE177" s="75"/>
      <c r="AF177" s="75"/>
      <c r="AG177" s="75"/>
      <c r="AH177" s="75"/>
      <c r="AI177" s="75"/>
      <c r="AJ177" s="75"/>
      <c r="AK177" s="75"/>
    </row>
    <row r="178" spans="2:37" ht="24" hidden="1" customHeight="1" x14ac:dyDescent="0.15">
      <c r="B178" s="80" t="s">
        <v>795</v>
      </c>
      <c r="C178" s="115">
        <v>1.75</v>
      </c>
      <c r="M178" s="80" t="s">
        <v>795</v>
      </c>
      <c r="AA178" s="78"/>
      <c r="AB178" s="58"/>
      <c r="AC178" s="75"/>
      <c r="AD178" s="75"/>
      <c r="AE178" s="75"/>
      <c r="AF178" s="75"/>
      <c r="AG178" s="75"/>
      <c r="AH178" s="75"/>
      <c r="AI178" s="75"/>
      <c r="AJ178" s="75"/>
      <c r="AK178" s="75"/>
    </row>
    <row r="179" spans="2:37" ht="24" hidden="1" customHeight="1" x14ac:dyDescent="0.15">
      <c r="B179" s="80" t="s">
        <v>796</v>
      </c>
      <c r="C179" s="115">
        <v>2.33</v>
      </c>
      <c r="M179" s="80" t="s">
        <v>796</v>
      </c>
      <c r="AA179" s="78"/>
      <c r="AB179" s="58"/>
      <c r="AC179" s="75"/>
      <c r="AD179" s="75"/>
      <c r="AE179" s="75"/>
      <c r="AF179" s="75"/>
      <c r="AG179" s="75"/>
      <c r="AH179" s="75"/>
      <c r="AI179" s="75"/>
      <c r="AJ179" s="75"/>
      <c r="AK179" s="75"/>
    </row>
    <row r="180" spans="2:37" ht="24" hidden="1" customHeight="1" x14ac:dyDescent="0.15">
      <c r="B180" s="80" t="s">
        <v>797</v>
      </c>
      <c r="C180" s="115">
        <v>2.91</v>
      </c>
      <c r="M180" s="80" t="s">
        <v>797</v>
      </c>
      <c r="AA180" s="78"/>
      <c r="AB180" s="58"/>
      <c r="AC180" s="75"/>
      <c r="AD180" s="75"/>
      <c r="AE180" s="75"/>
      <c r="AF180" s="75"/>
      <c r="AG180" s="75"/>
      <c r="AH180" s="75"/>
      <c r="AI180" s="75"/>
      <c r="AJ180" s="75"/>
      <c r="AK180" s="75"/>
    </row>
    <row r="181" spans="2:37" ht="24" hidden="1" customHeight="1" x14ac:dyDescent="0.15">
      <c r="B181" s="80" t="s">
        <v>798</v>
      </c>
      <c r="C181" s="115">
        <v>2.91</v>
      </c>
      <c r="M181" s="80" t="s">
        <v>798</v>
      </c>
      <c r="AA181" s="78"/>
      <c r="AB181" s="76"/>
      <c r="AC181" s="75"/>
      <c r="AD181" s="75"/>
      <c r="AE181" s="75"/>
      <c r="AF181" s="75"/>
      <c r="AG181" s="75"/>
      <c r="AH181" s="75"/>
      <c r="AI181" s="75"/>
      <c r="AJ181" s="75"/>
      <c r="AK181" s="75"/>
    </row>
    <row r="182" spans="2:37" ht="24" hidden="1" customHeight="1" x14ac:dyDescent="0.15">
      <c r="B182" s="80" t="s">
        <v>799</v>
      </c>
      <c r="C182" s="115">
        <v>2.33</v>
      </c>
      <c r="M182" s="80" t="s">
        <v>799</v>
      </c>
      <c r="AA182" s="78"/>
      <c r="AB182" s="58"/>
      <c r="AC182" s="75"/>
      <c r="AD182" s="75"/>
      <c r="AE182" s="75"/>
      <c r="AF182" s="75"/>
      <c r="AG182" s="75"/>
      <c r="AH182" s="75"/>
      <c r="AI182" s="75"/>
      <c r="AJ182" s="75"/>
      <c r="AK182" s="75"/>
    </row>
    <row r="183" spans="2:37" ht="24" hidden="1" customHeight="1" x14ac:dyDescent="0.15">
      <c r="B183" s="80" t="s">
        <v>801</v>
      </c>
      <c r="C183" s="115">
        <v>3.49</v>
      </c>
      <c r="M183" s="80" t="s">
        <v>801</v>
      </c>
      <c r="AA183" s="78"/>
      <c r="AB183" s="58"/>
      <c r="AC183" s="75"/>
      <c r="AD183" s="75"/>
      <c r="AE183" s="75"/>
      <c r="AF183" s="75"/>
      <c r="AG183" s="75"/>
      <c r="AH183" s="75"/>
      <c r="AI183" s="75"/>
      <c r="AJ183" s="75"/>
      <c r="AK183" s="75"/>
    </row>
    <row r="184" spans="2:37" ht="24" hidden="1" customHeight="1" x14ac:dyDescent="0.15">
      <c r="B184" s="80" t="s">
        <v>803</v>
      </c>
      <c r="C184" s="115">
        <v>3.49</v>
      </c>
      <c r="M184" s="80" t="s">
        <v>803</v>
      </c>
    </row>
    <row r="185" spans="2:37" ht="24" hidden="1" customHeight="1" x14ac:dyDescent="0.15">
      <c r="B185" s="80" t="s">
        <v>805</v>
      </c>
      <c r="C185" s="115">
        <v>4.6500000000000004</v>
      </c>
      <c r="M185" s="80" t="s">
        <v>805</v>
      </c>
    </row>
    <row r="186" spans="2:37" ht="24" hidden="1" customHeight="1" x14ac:dyDescent="0.15">
      <c r="B186" s="80" t="s">
        <v>806</v>
      </c>
      <c r="C186" s="115">
        <v>4.07</v>
      </c>
      <c r="M186" s="80" t="s">
        <v>806</v>
      </c>
    </row>
    <row r="187" spans="2:37" ht="24" hidden="1" customHeight="1" x14ac:dyDescent="0.15">
      <c r="B187" s="80" t="s">
        <v>808</v>
      </c>
      <c r="C187" s="115">
        <v>4.6500000000000004</v>
      </c>
      <c r="M187" s="80" t="s">
        <v>808</v>
      </c>
    </row>
  </sheetData>
  <sheetProtection algorithmName="SHA-512" hashValue="Xw+LcM4tAoRgrQZ2oQxDZMLv0FQlshn7VGV0FmuZvjYwuPqesqXk5wII39m188gYrD3NhOOfVARQSTNBgONO+A==" saltValue="bgMGBztKrPhz50AGpKHW0A==" spinCount="100000" sheet="1" objects="1" scenarios="1" selectLockedCells="1"/>
  <mergeCells count="242">
    <mergeCell ref="V38:X38"/>
    <mergeCell ref="A35:B38"/>
    <mergeCell ref="C35:I35"/>
    <mergeCell ref="K35:M35"/>
    <mergeCell ref="P35:Q35"/>
    <mergeCell ref="T35:U35"/>
    <mergeCell ref="X35:Y35"/>
    <mergeCell ref="C36:I36"/>
    <mergeCell ref="V36:X36"/>
    <mergeCell ref="U31:V31"/>
    <mergeCell ref="Y29:Z29"/>
    <mergeCell ref="M30:N30"/>
    <mergeCell ref="O30:P30"/>
    <mergeCell ref="Q30:R30"/>
    <mergeCell ref="S30:T30"/>
    <mergeCell ref="W30:X30"/>
    <mergeCell ref="Y30:Z30"/>
    <mergeCell ref="C37:I37"/>
    <mergeCell ref="V37:X37"/>
    <mergeCell ref="W31:X31"/>
    <mergeCell ref="Y31:Z31"/>
    <mergeCell ref="I32:T32"/>
    <mergeCell ref="U32:V32"/>
    <mergeCell ref="W32:X32"/>
    <mergeCell ref="Y32:Z32"/>
    <mergeCell ref="M31:N31"/>
    <mergeCell ref="O31:P31"/>
    <mergeCell ref="U30:V30"/>
    <mergeCell ref="W29:X29"/>
    <mergeCell ref="M29:N29"/>
    <mergeCell ref="O29:P29"/>
    <mergeCell ref="Q29:R29"/>
    <mergeCell ref="S29:T29"/>
    <mergeCell ref="U29:V29"/>
    <mergeCell ref="U22:V22"/>
    <mergeCell ref="W22:X22"/>
    <mergeCell ref="Y22:Z22"/>
    <mergeCell ref="I23:J23"/>
    <mergeCell ref="K23:L23"/>
    <mergeCell ref="M23:N23"/>
    <mergeCell ref="O23:R23"/>
    <mergeCell ref="S23:T23"/>
    <mergeCell ref="U23:V23"/>
    <mergeCell ref="W23:X23"/>
    <mergeCell ref="Y23:Z23"/>
    <mergeCell ref="I24:T24"/>
    <mergeCell ref="U24:V24"/>
    <mergeCell ref="W24:X24"/>
    <mergeCell ref="Y24:Z24"/>
    <mergeCell ref="M27:N28"/>
    <mergeCell ref="O27:P28"/>
    <mergeCell ref="Q27:R28"/>
    <mergeCell ref="S27:T28"/>
    <mergeCell ref="U27:V28"/>
    <mergeCell ref="W27:X28"/>
    <mergeCell ref="Y27:Z28"/>
    <mergeCell ref="I22:J22"/>
    <mergeCell ref="U17:V17"/>
    <mergeCell ref="W17:X17"/>
    <mergeCell ref="Y17:Z17"/>
    <mergeCell ref="AM18:AN18"/>
    <mergeCell ref="I20:J21"/>
    <mergeCell ref="K20:N20"/>
    <mergeCell ref="O20:R21"/>
    <mergeCell ref="S20:T21"/>
    <mergeCell ref="U20:V21"/>
    <mergeCell ref="W20:X21"/>
    <mergeCell ref="Y20:Z21"/>
    <mergeCell ref="AM20:AN20"/>
    <mergeCell ref="K21:L21"/>
    <mergeCell ref="M21:N21"/>
    <mergeCell ref="A17:T17"/>
    <mergeCell ref="U15:V15"/>
    <mergeCell ref="W15:X15"/>
    <mergeCell ref="Y15:Z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15:B15"/>
    <mergeCell ref="C15:D15"/>
    <mergeCell ref="E15:F15"/>
    <mergeCell ref="G15:H15"/>
    <mergeCell ref="I15:J15"/>
    <mergeCell ref="K15:L15"/>
    <mergeCell ref="M15:N15"/>
    <mergeCell ref="Y13:Z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3:B13"/>
    <mergeCell ref="C13:D13"/>
    <mergeCell ref="E13:F13"/>
    <mergeCell ref="G13:H13"/>
    <mergeCell ref="I13:J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11:B11"/>
    <mergeCell ref="C11:D11"/>
    <mergeCell ref="E11:F11"/>
    <mergeCell ref="I11:J11"/>
    <mergeCell ref="K11:L11"/>
    <mergeCell ref="M11:N11"/>
    <mergeCell ref="O11:P11"/>
    <mergeCell ref="Q11:R11"/>
    <mergeCell ref="G11:H11"/>
    <mergeCell ref="U9:V9"/>
    <mergeCell ref="W9:X9"/>
    <mergeCell ref="K13:L13"/>
    <mergeCell ref="M13:N13"/>
    <mergeCell ref="O13:P13"/>
    <mergeCell ref="Q13:R13"/>
    <mergeCell ref="S11:T11"/>
    <mergeCell ref="U11:V11"/>
    <mergeCell ref="W11:X11"/>
    <mergeCell ref="S13:T13"/>
    <mergeCell ref="U13:V13"/>
    <mergeCell ref="W13:X13"/>
    <mergeCell ref="Y9:Z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W7:X7"/>
    <mergeCell ref="Y7:Z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7:B7"/>
    <mergeCell ref="C7:D7"/>
    <mergeCell ref="E7:F7"/>
    <mergeCell ref="G7:H7"/>
    <mergeCell ref="I7:J7"/>
    <mergeCell ref="K7:L7"/>
    <mergeCell ref="M7:N7"/>
    <mergeCell ref="AC5:AD5"/>
    <mergeCell ref="AG5:AH5"/>
    <mergeCell ref="AJ5:AK5"/>
    <mergeCell ref="AM5:AN5"/>
    <mergeCell ref="O6:P6"/>
    <mergeCell ref="Q6:R6"/>
    <mergeCell ref="S6:T6"/>
    <mergeCell ref="U4:V6"/>
    <mergeCell ref="W4:X6"/>
    <mergeCell ref="Y4:Z6"/>
    <mergeCell ref="A1:Z1"/>
    <mergeCell ref="Q3:T3"/>
    <mergeCell ref="U3:V3"/>
    <mergeCell ref="W3:X3"/>
    <mergeCell ref="A4:B6"/>
    <mergeCell ref="C4:F4"/>
    <mergeCell ref="G4:H6"/>
    <mergeCell ref="I4:J6"/>
    <mergeCell ref="K4:L6"/>
    <mergeCell ref="M4:T4"/>
    <mergeCell ref="C5:D6"/>
    <mergeCell ref="E5:F6"/>
    <mergeCell ref="K22:L22"/>
    <mergeCell ref="M22:N22"/>
    <mergeCell ref="O22:R22"/>
    <mergeCell ref="S22:T22"/>
    <mergeCell ref="Q31:R31"/>
    <mergeCell ref="S31:T31"/>
    <mergeCell ref="M5:N6"/>
    <mergeCell ref="O5:T5"/>
    <mergeCell ref="O7:P7"/>
    <mergeCell ref="Q7:R7"/>
    <mergeCell ref="S7:T7"/>
    <mergeCell ref="O15:P15"/>
    <mergeCell ref="Q15:R15"/>
    <mergeCell ref="S15:T15"/>
    <mergeCell ref="O44:Q44"/>
    <mergeCell ref="I31:J31"/>
    <mergeCell ref="K31:L31"/>
    <mergeCell ref="I27:J28"/>
    <mergeCell ref="K27:L28"/>
    <mergeCell ref="I29:J29"/>
    <mergeCell ref="K29:L29"/>
    <mergeCell ref="I30:J30"/>
    <mergeCell ref="K30:L30"/>
    <mergeCell ref="C38:I38"/>
  </mergeCells>
  <phoneticPr fontId="2"/>
  <conditionalFormatting sqref="U17:V17">
    <cfRule type="expression" dxfId="83" priority="18" stopIfTrue="1">
      <formula>$U$17=0</formula>
    </cfRule>
  </conditionalFormatting>
  <conditionalFormatting sqref="W17:X17">
    <cfRule type="expression" dxfId="82" priority="17" stopIfTrue="1">
      <formula>$W$17=0</formula>
    </cfRule>
  </conditionalFormatting>
  <conditionalFormatting sqref="Y17:Z17">
    <cfRule type="expression" dxfId="81" priority="16" stopIfTrue="1">
      <formula>$Y$17=0</formula>
    </cfRule>
  </conditionalFormatting>
  <conditionalFormatting sqref="U24:Z24">
    <cfRule type="expression" dxfId="80" priority="15" stopIfTrue="1">
      <formula>$U$24:$Z$24=0</formula>
    </cfRule>
  </conditionalFormatting>
  <conditionalFormatting sqref="U32:V32">
    <cfRule type="expression" dxfId="79" priority="14" stopIfTrue="1">
      <formula>$U$32:$V$32=0</formula>
    </cfRule>
  </conditionalFormatting>
  <conditionalFormatting sqref="X35:Y35">
    <cfRule type="expression" dxfId="78" priority="13" stopIfTrue="1">
      <formula>$X$35=0</formula>
    </cfRule>
  </conditionalFormatting>
  <conditionalFormatting sqref="P35:Q35">
    <cfRule type="expression" dxfId="77" priority="12" stopIfTrue="1">
      <formula>$P$35=0</formula>
    </cfRule>
  </conditionalFormatting>
  <conditionalFormatting sqref="T35:U35">
    <cfRule type="expression" dxfId="76" priority="11" stopIfTrue="1">
      <formula>$T$35=0</formula>
    </cfRule>
  </conditionalFormatting>
  <conditionalFormatting sqref="K35:M35">
    <cfRule type="expression" dxfId="75" priority="10" stopIfTrue="1">
      <formula>$K$35=0</formula>
    </cfRule>
  </conditionalFormatting>
  <conditionalFormatting sqref="W7:X7">
    <cfRule type="expression" dxfId="74" priority="8" stopIfTrue="1">
      <formula>#VALUE!</formula>
    </cfRule>
    <cfRule type="expression" dxfId="73" priority="9" stopIfTrue="1">
      <formula>#VALUE!</formula>
    </cfRule>
  </conditionalFormatting>
  <conditionalFormatting sqref="W16:X16">
    <cfRule type="expression" dxfId="72" priority="7" stopIfTrue="1">
      <formula>#VALUE!</formula>
    </cfRule>
  </conditionalFormatting>
  <conditionalFormatting sqref="O7:T16">
    <cfRule type="expression" dxfId="71" priority="6" stopIfTrue="1">
      <formula>$AF7=TRUE</formula>
    </cfRule>
  </conditionalFormatting>
  <conditionalFormatting sqref="W7:X7">
    <cfRule type="expression" dxfId="70" priority="4" stopIfTrue="1">
      <formula>#VALUE!</formula>
    </cfRule>
    <cfRule type="expression" dxfId="69" priority="5" stopIfTrue="1">
      <formula>#VALUE!</formula>
    </cfRule>
  </conditionalFormatting>
  <conditionalFormatting sqref="W16:X16">
    <cfRule type="expression" dxfId="68" priority="3" stopIfTrue="1">
      <formula>#VALUE!</formula>
    </cfRule>
  </conditionalFormatting>
  <conditionalFormatting sqref="W32:X32">
    <cfRule type="expression" dxfId="67" priority="2" stopIfTrue="1">
      <formula>$W$32:$X$32=0</formula>
    </cfRule>
  </conditionalFormatting>
  <conditionalFormatting sqref="Y32:Z32">
    <cfRule type="expression" dxfId="66" priority="1" stopIfTrue="1">
      <formula>$Y$32:$Z$32=0</formula>
    </cfRule>
  </conditionalFormatting>
  <dataValidations count="6">
    <dataValidation type="list" allowBlank="1" showInputMessage="1" showErrorMessage="1" sqref="S22:T23" xr:uid="{00000000-0002-0000-0800-000000000000}">
      <formula1>"あり,なし"</formula1>
    </dataValidation>
    <dataValidation type="list" allowBlank="1" showInputMessage="1" showErrorMessage="1" sqref="K7:L16" xr:uid="{00000000-0002-0000-0800-000001000000}">
      <formula1>"　,雨戸,ｼｬｯﾀｰ,障子,風除室,外付けブラインド"</formula1>
    </dataValidation>
    <dataValidation type="list" allowBlank="1" showInputMessage="1" showErrorMessage="1" sqref="I29:I31" xr:uid="{00000000-0002-0000-0800-000002000000}">
      <formula1>"W-1,W-2,W-3"</formula1>
    </dataValidation>
    <dataValidation type="list" allowBlank="1" showInputMessage="1" showErrorMessage="1" sqref="G7:H16" xr:uid="{00000000-0002-0000-0800-000003000000}">
      <formula1>建具の仕様_南</formula1>
    </dataValidation>
    <dataValidation type="list" allowBlank="1" showInputMessage="1" showErrorMessage="1" sqref="I7:J16" xr:uid="{00000000-0002-0000-0800-000004000000}">
      <formula1>INDIRECT(G7)</formula1>
    </dataValidation>
    <dataValidation type="list" allowBlank="1" showInputMessage="1" showErrorMessage="1" sqref="O22:R23" xr:uid="{00000000-0002-0000-0800-000005000000}">
      <formula1>建具の構成_南</formula1>
    </dataValidation>
  </dataValidations>
  <pageMargins left="0.59055118110236227" right="0.39370078740157483" top="0.98425196850393704" bottom="0.78740157480314965" header="0.31496062992125984" footer="0.39370078740157483"/>
  <pageSetup paperSize="9" scale="79" orientation="portrait" horizontalDpi="300" verticalDpi="300" r:id="rId1"/>
  <headerFooter>
    <oddHeader>&amp;Rver. 1.5（excel 2010）[H28]</oddHeader>
    <oddFooter>&amp;Cⓒ　2013 hyoukakyoukai.All right reserved</oddFooter>
  </headerFooter>
  <rowBreaks count="1" manualBreakCount="1">
    <brk id="38" max="16383" man="1"/>
  </rowBreaks>
  <colBreaks count="1" manualBreakCount="1">
    <brk id="2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4" name="Check Box 1">
              <controlPr defaultSize="0" autoFill="0" autoLine="0" autoPict="0">
                <anchor moveWithCells="1">
                  <from>
                    <xdr:col>12</xdr:col>
                    <xdr:colOff>200025</xdr:colOff>
                    <xdr:row>6</xdr:row>
                    <xdr:rowOff>133350</xdr:rowOff>
                  </from>
                  <to>
                    <xdr:col>13</xdr:col>
                    <xdr:colOff>190500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5" name="Check Box 2">
              <controlPr defaultSize="0" autoFill="0" autoLine="0" autoPict="0">
                <anchor moveWithCells="1">
                  <from>
                    <xdr:col>12</xdr:col>
                    <xdr:colOff>200025</xdr:colOff>
                    <xdr:row>7</xdr:row>
                    <xdr:rowOff>133350</xdr:rowOff>
                  </from>
                  <to>
                    <xdr:col>13</xdr:col>
                    <xdr:colOff>190500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7" r:id="rId6" name="Check Box 3">
              <controlPr defaultSize="0" autoFill="0" autoLine="0" autoPict="0">
                <anchor moveWithCells="1">
                  <from>
                    <xdr:col>12</xdr:col>
                    <xdr:colOff>200025</xdr:colOff>
                    <xdr:row>11</xdr:row>
                    <xdr:rowOff>133350</xdr:rowOff>
                  </from>
                  <to>
                    <xdr:col>13</xdr:col>
                    <xdr:colOff>190500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8" r:id="rId7" name="Check Box 4">
              <controlPr defaultSize="0" autoFill="0" autoLine="0" autoPict="0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13</xdr:col>
                    <xdr:colOff>190500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" r:id="rId8" name="Check Box 5">
              <controlPr defaultSize="0" autoFill="0" autoLine="0" autoPict="0">
                <anchor moveWithCells="1">
                  <from>
                    <xdr:col>12</xdr:col>
                    <xdr:colOff>200025</xdr:colOff>
                    <xdr:row>13</xdr:row>
                    <xdr:rowOff>133350</xdr:rowOff>
                  </from>
                  <to>
                    <xdr:col>13</xdr:col>
                    <xdr:colOff>190500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0" r:id="rId9" name="Check Box 6">
              <controlPr defaultSize="0" autoFill="0" autoLine="0" autoPict="0">
                <anchor moveWithCells="1">
                  <from>
                    <xdr:col>12</xdr:col>
                    <xdr:colOff>200025</xdr:colOff>
                    <xdr:row>14</xdr:row>
                    <xdr:rowOff>133350</xdr:rowOff>
                  </from>
                  <to>
                    <xdr:col>13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1" r:id="rId10" name="Check Box 7">
              <controlPr defaultSize="0" autoFill="0" autoLine="0" autoPict="0">
                <anchor moveWithCells="1">
                  <from>
                    <xdr:col>12</xdr:col>
                    <xdr:colOff>200025</xdr:colOff>
                    <xdr:row>15</xdr:row>
                    <xdr:rowOff>133350</xdr:rowOff>
                  </from>
                  <to>
                    <xdr:col>13</xdr:col>
                    <xdr:colOff>190500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2" r:id="rId11" name="Check Box 8">
              <controlPr defaultSize="0" autoFill="0" autoLine="0" autoPict="0">
                <anchor moveWithCells="1">
                  <from>
                    <xdr:col>12</xdr:col>
                    <xdr:colOff>200025</xdr:colOff>
                    <xdr:row>8</xdr:row>
                    <xdr:rowOff>133350</xdr:rowOff>
                  </from>
                  <to>
                    <xdr:col>13</xdr:col>
                    <xdr:colOff>190500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3" r:id="rId12" name="Check Box 9">
              <controlPr defaultSize="0" autoFill="0" autoLine="0" autoPict="0">
                <anchor moveWithCells="1">
                  <from>
                    <xdr:col>12</xdr:col>
                    <xdr:colOff>200025</xdr:colOff>
                    <xdr:row>9</xdr:row>
                    <xdr:rowOff>133350</xdr:rowOff>
                  </from>
                  <to>
                    <xdr:col>13</xdr:col>
                    <xdr:colOff>190500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4" r:id="rId13" name="Check Box 10">
              <controlPr defaultSize="0" autoFill="0" autoLine="0" autoPict="0">
                <anchor moveWithCells="1">
                  <from>
                    <xdr:col>12</xdr:col>
                    <xdr:colOff>200025</xdr:colOff>
                    <xdr:row>10</xdr:row>
                    <xdr:rowOff>133350</xdr:rowOff>
                  </from>
                  <to>
                    <xdr:col>13</xdr:col>
                    <xdr:colOff>190500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0" r:id="rId14" name="Check Box 36">
              <controlPr defaultSize="0" autoFill="0" autoLine="0" autoPict="0">
                <anchor moveWithCells="1">
                  <from>
                    <xdr:col>18</xdr:col>
                    <xdr:colOff>228600</xdr:colOff>
                    <xdr:row>28</xdr:row>
                    <xdr:rowOff>38100</xdr:rowOff>
                  </from>
                  <to>
                    <xdr:col>19</xdr:col>
                    <xdr:colOff>190500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1" r:id="rId15" name="Check Box 37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38100</xdr:rowOff>
                  </from>
                  <to>
                    <xdr:col>19</xdr:col>
                    <xdr:colOff>190500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2" r:id="rId16" name="Check Box 38">
              <controlPr defaultSize="0" autoFill="0" autoLine="0" autoPict="0">
                <anchor moveWithCells="1">
                  <from>
                    <xdr:col>18</xdr:col>
                    <xdr:colOff>228600</xdr:colOff>
                    <xdr:row>30</xdr:row>
                    <xdr:rowOff>38100</xdr:rowOff>
                  </from>
                  <to>
                    <xdr:col>19</xdr:col>
                    <xdr:colOff>190500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69</vt:i4>
      </vt:variant>
    </vt:vector>
  </HeadingPairs>
  <TitlesOfParts>
    <vt:vector size="84" baseType="lpstr">
      <vt:lpstr>はじめに（お読みください）</vt:lpstr>
      <vt:lpstr>共通条件・結果</vt:lpstr>
      <vt:lpstr>断熱仕様一覧</vt:lpstr>
      <vt:lpstr>【参考】断熱材の熱伝導率</vt:lpstr>
      <vt:lpstr>Ａ（北）</vt:lpstr>
      <vt:lpstr>Ａ（北東）</vt:lpstr>
      <vt:lpstr>Ａ（東）</vt:lpstr>
      <vt:lpstr>Ａ（南東）</vt:lpstr>
      <vt:lpstr>Ａ（南）</vt:lpstr>
      <vt:lpstr>Ａ（南西）</vt:lpstr>
      <vt:lpstr>Ａ（西）</vt:lpstr>
      <vt:lpstr>Ａ（北西）</vt:lpstr>
      <vt:lpstr>Ｂ（屋根・床等）</vt:lpstr>
      <vt:lpstr>Ｃ（基礎）</vt:lpstr>
      <vt:lpstr>更新履歴</vt:lpstr>
      <vt:lpstr>'Ａ（西）'!Print_Area</vt:lpstr>
      <vt:lpstr>'Ａ（東）'!Print_Area</vt:lpstr>
      <vt:lpstr>'Ａ（南）'!Print_Area</vt:lpstr>
      <vt:lpstr>'Ａ（南西）'!Print_Area</vt:lpstr>
      <vt:lpstr>'Ａ（南東）'!Print_Area</vt:lpstr>
      <vt:lpstr>'Ａ（北）'!Print_Area</vt:lpstr>
      <vt:lpstr>'Ａ（北西）'!Print_Area</vt:lpstr>
      <vt:lpstr>'Ａ（北東）'!Print_Area</vt:lpstr>
      <vt:lpstr>'Ｂ（屋根・床等）'!Print_Area</vt:lpstr>
      <vt:lpstr>'Ｃ（基礎）'!Print_Area</vt:lpstr>
      <vt:lpstr>'はじめに（お読みください）'!Print_Area</vt:lpstr>
      <vt:lpstr>共通条件・結果!Print_Area</vt:lpstr>
      <vt:lpstr>更新履歴!Print_Area</vt:lpstr>
      <vt:lpstr>断熱仕様一覧!Print_Area</vt:lpstr>
      <vt:lpstr>'Ａ（西）'!あ_木製建具又は樹脂性建具</vt:lpstr>
      <vt:lpstr>'Ａ（東）'!あ_木製建具又は樹脂性建具</vt:lpstr>
      <vt:lpstr>'Ａ（南）'!あ_木製建具又は樹脂性建具</vt:lpstr>
      <vt:lpstr>'Ａ（南西）'!あ_木製建具又は樹脂性建具</vt:lpstr>
      <vt:lpstr>'Ａ（南東）'!あ_木製建具又は樹脂性建具</vt:lpstr>
      <vt:lpstr>'Ａ（北）'!あ_木製建具又は樹脂性建具</vt:lpstr>
      <vt:lpstr>'Ａ（北西）'!あ_木製建具又は樹脂性建具</vt:lpstr>
      <vt:lpstr>'Ａ（北東）'!あ_木製建具又は樹脂性建具</vt:lpstr>
      <vt:lpstr>'Ｂ（屋根・床等）'!あ_木製建具又は樹脂性建具</vt:lpstr>
      <vt:lpstr>'Ａ（西）'!い_木と金属の複合材料製建具又は樹脂と金属の複合材料製建具</vt:lpstr>
      <vt:lpstr>'Ａ（東）'!い_木と金属の複合材料製建具又は樹脂と金属の複合材料製建具</vt:lpstr>
      <vt:lpstr>'Ａ（南）'!い_木と金属の複合材料製建具又は樹脂と金属の複合材料製建具</vt:lpstr>
      <vt:lpstr>'Ａ（南西）'!い_木と金属の複合材料製建具又は樹脂と金属の複合材料製建具</vt:lpstr>
      <vt:lpstr>'Ａ（南東）'!い_木と金属の複合材料製建具又は樹脂と金属の複合材料製建具</vt:lpstr>
      <vt:lpstr>'Ａ（北）'!い_木と金属の複合材料製建具又は樹脂と金属の複合材料製建具</vt:lpstr>
      <vt:lpstr>'Ａ（北西）'!い_木と金属の複合材料製建具又は樹脂と金属の複合材料製建具</vt:lpstr>
      <vt:lpstr>'Ａ（北東）'!い_木と金属の複合材料製建具又は樹脂と金属の複合材料製建具</vt:lpstr>
      <vt:lpstr>'Ｂ（屋根・床等）'!い_木と金属の複合材料製建具又は樹脂と金属の複合材料製建具</vt:lpstr>
      <vt:lpstr>'Ａ（西）'!う_金属製熱遮断構造建具</vt:lpstr>
      <vt:lpstr>'Ａ（東）'!う_金属製熱遮断構造建具</vt:lpstr>
      <vt:lpstr>'Ａ（南）'!う_金属製熱遮断構造建具</vt:lpstr>
      <vt:lpstr>'Ａ（南西）'!う_金属製熱遮断構造建具</vt:lpstr>
      <vt:lpstr>'Ａ（南東）'!う_金属製熱遮断構造建具</vt:lpstr>
      <vt:lpstr>'Ａ（北）'!う_金属製熱遮断構造建具</vt:lpstr>
      <vt:lpstr>'Ａ（北西）'!う_金属製熱遮断構造建具</vt:lpstr>
      <vt:lpstr>'Ａ（北東）'!う_金属製熱遮断構造建具</vt:lpstr>
      <vt:lpstr>'Ｂ（屋根・床等）'!う_金属製熱遮断構造建具</vt:lpstr>
      <vt:lpstr>'Ａ（西）'!え_金属製建具</vt:lpstr>
      <vt:lpstr>'Ａ（東）'!え_金属製建具</vt:lpstr>
      <vt:lpstr>'Ａ（南）'!え_金属製建具</vt:lpstr>
      <vt:lpstr>'Ａ（南西）'!え_金属製建具</vt:lpstr>
      <vt:lpstr>'Ａ（南東）'!え_金属製建具</vt:lpstr>
      <vt:lpstr>'Ａ（北）'!え_金属製建具</vt:lpstr>
      <vt:lpstr>'Ａ（北西）'!え_金属製建具</vt:lpstr>
      <vt:lpstr>'Ａ（北東）'!え_金属製建具</vt:lpstr>
      <vt:lpstr>'Ｂ（屋根・床等）'!え_金属製建具</vt:lpstr>
      <vt:lpstr>断熱仕様一覧!外壁断熱工法</vt:lpstr>
      <vt:lpstr>'Ａ（西）'!建具の構成_西</vt:lpstr>
      <vt:lpstr>'Ａ（東）'!建具の構成_東</vt:lpstr>
      <vt:lpstr>'Ａ（南）'!建具の構成_南</vt:lpstr>
      <vt:lpstr>'Ａ（南西）'!建具の構成_南西</vt:lpstr>
      <vt:lpstr>'Ａ（南東）'!建具の構成_南東</vt:lpstr>
      <vt:lpstr>'Ａ（北）'!建具の構成_北</vt:lpstr>
      <vt:lpstr>'Ａ（北西）'!建具の構成_北西</vt:lpstr>
      <vt:lpstr>'Ａ（北東）'!建具の構成_北東</vt:lpstr>
      <vt:lpstr>'Ｂ（屋根・床等）'!建具の仕様_屋根床</vt:lpstr>
      <vt:lpstr>'Ａ（西）'!建具の仕様_西</vt:lpstr>
      <vt:lpstr>'Ａ（東）'!建具の仕様_東</vt:lpstr>
      <vt:lpstr>'Ａ（南）'!建具の仕様_南</vt:lpstr>
      <vt:lpstr>'Ａ（南西）'!建具の仕様_南西</vt:lpstr>
      <vt:lpstr>'Ａ（南東）'!建具の仕様_南東</vt:lpstr>
      <vt:lpstr>'Ａ（北）'!建具の仕様_北</vt:lpstr>
      <vt:lpstr>'Ａ（北西）'!建具の仕様_北西</vt:lpstr>
      <vt:lpstr>'Ａ（北東）'!建具の仕様_北東</vt:lpstr>
      <vt:lpstr>断熱仕様一覧!材料名</vt:lpstr>
    </vt:vector>
  </TitlesOfParts>
  <Company>評価センター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卓三</dc:creator>
  <cp:lastModifiedBy>012</cp:lastModifiedBy>
  <cp:lastPrinted>2020-04-01T08:25:39Z</cp:lastPrinted>
  <dcterms:created xsi:type="dcterms:W3CDTF">2001-06-12T05:58:42Z</dcterms:created>
  <dcterms:modified xsi:type="dcterms:W3CDTF">2020-04-01T08:25:57Z</dcterms:modified>
</cp:coreProperties>
</file>